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t0789\Desktop\"/>
    </mc:Choice>
  </mc:AlternateContent>
  <xr:revisionPtr revIDLastSave="0" documentId="8_{9471DA01-0D2F-462C-92C3-7E87F60FBCCB}" xr6:coauthVersionLast="47" xr6:coauthVersionMax="47" xr10:uidLastSave="{00000000-0000-0000-0000-000000000000}"/>
  <workbookProtection workbookAlgorithmName="SHA-512" workbookHashValue="mwZVHomPau3OfAKEM7Na1BpsolHpRltUKPPhA1+87eCe53IVyBSj4nB8UtepFcYytRktljM2eQLR7N9M+eJF5A==" workbookSaltValue="H4VC+Jkpg1j/aiOV1Lt+7g==" workbookSpinCount="100000" lockStructure="1"/>
  <bookViews>
    <workbookView xWindow="-120" yWindow="-120" windowWidth="29040" windowHeight="15720" firstSheet="2" activeTab="2" xr2:uid="{00000000-000D-0000-FFFF-FFFF00000000}"/>
  </bookViews>
  <sheets>
    <sheet name="国保税率" sheetId="14" state="hidden" r:id="rId1"/>
    <sheet name="職員設定用" sheetId="13" state="hidden" r:id="rId2"/>
    <sheet name="国民健康保険税試算シート" sheetId="11" r:id="rId3"/>
    <sheet name="計算用" sheetId="10" r:id="rId4"/>
    <sheet name="目安表" sheetId="16" state="hidden" r:id="rId5"/>
    <sheet name="給与所得の源泉徴収票" sheetId="17" r:id="rId6"/>
    <sheet name="公的年金等の源泉徴収票" sheetId="18" r:id="rId7"/>
    <sheet name="確定申告書" sheetId="19" r:id="rId8"/>
    <sheet name="出力表" sheetId="15" state="hidden" r:id="rId9"/>
    <sheet name="リスト" sheetId="12" state="hidden" r:id="rId10"/>
  </sheets>
  <definedNames>
    <definedName name="_xlnm.Print_Area" localSheetId="7">確定申告書!$A$2:$Q$92</definedName>
    <definedName name="_xlnm.Print_Area" localSheetId="5">給与所得の源泉徴収票!$A$1:$I$51</definedName>
    <definedName name="_xlnm.Print_Area" localSheetId="3">計算用!$A$1:$CJ$36</definedName>
    <definedName name="_xlnm.Print_Area" localSheetId="6">公的年金等の源泉徴収票!$A$1:$N$57</definedName>
    <definedName name="_xlnm.Print_Area" localSheetId="2">国民健康保険税試算シート!$A$1:$H$27</definedName>
    <definedName name="Z_FEF7E134_FAA0_44BF_BC01_319EC6ED6317_.wvu.PrintArea" localSheetId="7" hidden="1">確定申告書!$A$2:$Q$97</definedName>
    <definedName name="リスト" comment="〇" localSheetId="3">計算用!$E$15</definedName>
    <definedName name="リスト" comment="〇">#REF!</definedName>
    <definedName name="年度">OFFSET(国保税率!$B$5,0,0,COUNTA(国保税率!$B:$B)-1,1)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5" i="10" l="1"/>
  <c r="E7" i="10"/>
  <c r="O7" i="10" l="1"/>
  <c r="O6" i="10"/>
  <c r="C17" i="13" l="1"/>
  <c r="V10" i="10" s="1"/>
  <c r="B17" i="13"/>
  <c r="E9" i="13"/>
  <c r="B10" i="11" s="1"/>
  <c r="J23" i="15" l="1"/>
  <c r="J22" i="15"/>
  <c r="J21" i="15"/>
  <c r="J20" i="15"/>
  <c r="J19" i="15"/>
  <c r="J7" i="15"/>
  <c r="J6" i="15"/>
  <c r="J5" i="15"/>
  <c r="J4" i="15"/>
  <c r="J3" i="15"/>
  <c r="F23" i="15"/>
  <c r="E23" i="15"/>
  <c r="D23" i="15"/>
  <c r="C23" i="15"/>
  <c r="F22" i="15"/>
  <c r="F21" i="15"/>
  <c r="E21" i="15"/>
  <c r="D21" i="15"/>
  <c r="C21" i="15"/>
  <c r="F20" i="15"/>
  <c r="E20" i="15"/>
  <c r="D20" i="15"/>
  <c r="C20" i="15"/>
  <c r="F19" i="15"/>
  <c r="E19" i="15"/>
  <c r="D19" i="15"/>
  <c r="C19" i="15"/>
  <c r="F15" i="15"/>
  <c r="E15" i="15"/>
  <c r="D15" i="15"/>
  <c r="C15" i="15"/>
  <c r="F14" i="15"/>
  <c r="I14" i="15" s="1"/>
  <c r="F13" i="15"/>
  <c r="E13" i="15"/>
  <c r="D13" i="15"/>
  <c r="C13" i="15"/>
  <c r="F12" i="15"/>
  <c r="E12" i="15"/>
  <c r="D12" i="15"/>
  <c r="C12" i="15"/>
  <c r="F11" i="15"/>
  <c r="E11" i="15"/>
  <c r="D11" i="15"/>
  <c r="C11" i="15"/>
  <c r="H23" i="15"/>
  <c r="I23" i="15" s="1"/>
  <c r="I22" i="15"/>
  <c r="F7" i="15"/>
  <c r="F6" i="15"/>
  <c r="I6" i="15" s="1"/>
  <c r="F5" i="15"/>
  <c r="F4" i="15"/>
  <c r="F3" i="15"/>
  <c r="E7" i="15"/>
  <c r="E5" i="15"/>
  <c r="E4" i="15"/>
  <c r="E3" i="15"/>
  <c r="D7" i="15"/>
  <c r="D5" i="15"/>
  <c r="D4" i="15"/>
  <c r="D3" i="15"/>
  <c r="C7" i="15"/>
  <c r="C5" i="15"/>
  <c r="C4" i="15"/>
  <c r="C3" i="15"/>
  <c r="B5" i="13"/>
  <c r="B7" i="13"/>
  <c r="AB8" i="10"/>
  <c r="AB9" i="10"/>
  <c r="H8" i="10"/>
  <c r="R8" i="10"/>
  <c r="AV8" i="10"/>
  <c r="AQ8" i="10"/>
  <c r="AL8" i="10"/>
  <c r="B19" i="13"/>
  <c r="B14" i="13"/>
  <c r="B13" i="13"/>
  <c r="E10" i="13"/>
  <c r="BA9" i="10" s="1"/>
  <c r="BA8" i="10"/>
  <c r="BY31" i="10" s="1"/>
  <c r="E8" i="13"/>
  <c r="BA7" i="10" s="1"/>
  <c r="E7" i="13"/>
  <c r="BA6" i="10" s="1"/>
  <c r="BY30" i="10" s="1"/>
  <c r="D10" i="13"/>
  <c r="D8" i="13"/>
  <c r="D7" i="13"/>
  <c r="D6" i="13"/>
  <c r="C10" i="13"/>
  <c r="C8" i="13"/>
  <c r="C7" i="13"/>
  <c r="C6" i="13"/>
  <c r="B10" i="13"/>
  <c r="B8" i="13"/>
  <c r="B6" i="13"/>
  <c r="E5" i="13"/>
  <c r="BA5" i="10" s="1"/>
  <c r="CA27" i="10" s="1"/>
  <c r="D5" i="13"/>
  <c r="C5" i="13"/>
  <c r="H15" i="15" l="1"/>
  <c r="J15" i="15" s="1"/>
  <c r="J14" i="15"/>
  <c r="H11" i="15"/>
  <c r="H13" i="15"/>
  <c r="H12" i="15"/>
  <c r="H20" i="15"/>
  <c r="I20" i="15" s="1"/>
  <c r="H19" i="15"/>
  <c r="I19" i="15" s="1"/>
  <c r="I18" i="15" s="1"/>
  <c r="H21" i="15"/>
  <c r="I21" i="15" s="1"/>
  <c r="H7" i="15"/>
  <c r="H4" i="15"/>
  <c r="I4" i="15" s="1"/>
  <c r="BP31" i="10"/>
  <c r="CE31" i="10" s="1"/>
  <c r="BP30" i="10"/>
  <c r="CA24" i="10"/>
  <c r="CA25" i="10"/>
  <c r="CA26" i="10"/>
  <c r="AT30" i="10"/>
  <c r="H9" i="10"/>
  <c r="E15" i="10"/>
  <c r="E16" i="10"/>
  <c r="I15" i="15" l="1"/>
  <c r="I12" i="15"/>
  <c r="J12" i="15"/>
  <c r="I11" i="15"/>
  <c r="I10" i="15" s="1"/>
  <c r="J11" i="15"/>
  <c r="I13" i="15"/>
  <c r="J13" i="15"/>
  <c r="J18" i="15"/>
  <c r="I7" i="15"/>
  <c r="CE34" i="10"/>
  <c r="CE30" i="10"/>
  <c r="C7" i="16"/>
  <c r="C15" i="16"/>
  <c r="C23" i="16"/>
  <c r="C31" i="16"/>
  <c r="C39" i="16"/>
  <c r="C8" i="16"/>
  <c r="C16" i="16"/>
  <c r="C24" i="16"/>
  <c r="C32" i="16"/>
  <c r="C40" i="16"/>
  <c r="C9" i="16"/>
  <c r="C17" i="16"/>
  <c r="C25" i="16"/>
  <c r="C33" i="16"/>
  <c r="C41" i="16"/>
  <c r="C11" i="16"/>
  <c r="C19" i="16"/>
  <c r="C27" i="16"/>
  <c r="C35" i="16"/>
  <c r="C43" i="16"/>
  <c r="C12" i="16"/>
  <c r="C28" i="16"/>
  <c r="C44" i="16"/>
  <c r="C13" i="16"/>
  <c r="C45" i="16"/>
  <c r="C30" i="16"/>
  <c r="C34" i="16"/>
  <c r="C21" i="16"/>
  <c r="C6" i="16"/>
  <c r="C10" i="16"/>
  <c r="C29" i="16"/>
  <c r="C5" i="16"/>
  <c r="C22" i="16"/>
  <c r="C14" i="16"/>
  <c r="C26" i="16"/>
  <c r="C18" i="16"/>
  <c r="C37" i="16"/>
  <c r="C38" i="16"/>
  <c r="C42" i="16"/>
  <c r="C20" i="16"/>
  <c r="C36" i="16"/>
  <c r="AO15" i="10"/>
  <c r="AO14" i="10"/>
  <c r="AO13" i="10"/>
  <c r="G24" i="10"/>
  <c r="G26" i="10" s="1"/>
  <c r="L21" i="16" l="1"/>
  <c r="P21" i="16"/>
  <c r="V21" i="16"/>
  <c r="F21" i="16"/>
  <c r="N21" i="16"/>
  <c r="T21" i="16"/>
  <c r="J21" i="16"/>
  <c r="R21" i="16"/>
  <c r="D21" i="16"/>
  <c r="H21" i="16"/>
  <c r="L17" i="16"/>
  <c r="T17" i="16"/>
  <c r="R17" i="16"/>
  <c r="P17" i="16"/>
  <c r="F17" i="16"/>
  <c r="D17" i="16"/>
  <c r="N17" i="16"/>
  <c r="H17" i="16"/>
  <c r="J17" i="16"/>
  <c r="V17" i="16"/>
  <c r="J20" i="16"/>
  <c r="P20" i="16"/>
  <c r="R20" i="16"/>
  <c r="L20" i="16"/>
  <c r="F20" i="16"/>
  <c r="N20" i="16"/>
  <c r="D20" i="16"/>
  <c r="T20" i="16"/>
  <c r="V20" i="16"/>
  <c r="H20" i="16"/>
  <c r="N5" i="16"/>
  <c r="J5" i="16"/>
  <c r="T5" i="16"/>
  <c r="V5" i="16"/>
  <c r="F5" i="16"/>
  <c r="D5" i="16"/>
  <c r="R5" i="16"/>
  <c r="H5" i="16"/>
  <c r="L5" i="16"/>
  <c r="P5" i="16"/>
  <c r="T13" i="16"/>
  <c r="V13" i="16"/>
  <c r="L13" i="16"/>
  <c r="P13" i="16"/>
  <c r="R13" i="16"/>
  <c r="H13" i="16"/>
  <c r="J13" i="16"/>
  <c r="D13" i="16"/>
  <c r="N13" i="16"/>
  <c r="F13" i="16"/>
  <c r="T11" i="16"/>
  <c r="D11" i="16"/>
  <c r="J11" i="16"/>
  <c r="R11" i="16"/>
  <c r="N11" i="16"/>
  <c r="F11" i="16"/>
  <c r="H11" i="16"/>
  <c r="P11" i="16"/>
  <c r="L11" i="16"/>
  <c r="V11" i="16"/>
  <c r="L24" i="16"/>
  <c r="P24" i="16"/>
  <c r="H24" i="16"/>
  <c r="R24" i="16"/>
  <c r="F24" i="16"/>
  <c r="J24" i="16"/>
  <c r="D24" i="16"/>
  <c r="N24" i="16"/>
  <c r="V24" i="16"/>
  <c r="T24" i="16"/>
  <c r="T42" i="16"/>
  <c r="H42" i="16"/>
  <c r="N42" i="16"/>
  <c r="J42" i="16"/>
  <c r="R42" i="16"/>
  <c r="P42" i="16"/>
  <c r="V42" i="16"/>
  <c r="D42" i="16"/>
  <c r="F42" i="16"/>
  <c r="L42" i="16"/>
  <c r="P29" i="16"/>
  <c r="V29" i="16"/>
  <c r="N29" i="16"/>
  <c r="R29" i="16"/>
  <c r="H29" i="16"/>
  <c r="L29" i="16"/>
  <c r="F29" i="16"/>
  <c r="T29" i="16"/>
  <c r="D29" i="16"/>
  <c r="J29" i="16"/>
  <c r="F44" i="16"/>
  <c r="N44" i="16"/>
  <c r="R44" i="16"/>
  <c r="D44" i="16"/>
  <c r="J44" i="16"/>
  <c r="P44" i="16"/>
  <c r="L44" i="16"/>
  <c r="V44" i="16"/>
  <c r="T44" i="16"/>
  <c r="H44" i="16"/>
  <c r="F41" i="16"/>
  <c r="H41" i="16"/>
  <c r="N41" i="16"/>
  <c r="L41" i="16"/>
  <c r="D41" i="16"/>
  <c r="T41" i="16"/>
  <c r="P41" i="16"/>
  <c r="J41" i="16"/>
  <c r="V41" i="16"/>
  <c r="R41" i="16"/>
  <c r="F16" i="16"/>
  <c r="P16" i="16"/>
  <c r="L16" i="16"/>
  <c r="J16" i="16"/>
  <c r="R16" i="16"/>
  <c r="H16" i="16"/>
  <c r="T16" i="16"/>
  <c r="N16" i="16"/>
  <c r="V16" i="16"/>
  <c r="D16" i="16"/>
  <c r="L38" i="16"/>
  <c r="H38" i="16"/>
  <c r="F38" i="16"/>
  <c r="J38" i="16"/>
  <c r="V38" i="16"/>
  <c r="D38" i="16"/>
  <c r="T38" i="16"/>
  <c r="P38" i="16"/>
  <c r="N38" i="16"/>
  <c r="R38" i="16"/>
  <c r="T10" i="16"/>
  <c r="P10" i="16"/>
  <c r="F10" i="16"/>
  <c r="L10" i="16"/>
  <c r="H10" i="16"/>
  <c r="V10" i="16"/>
  <c r="N10" i="16"/>
  <c r="J10" i="16"/>
  <c r="R10" i="16"/>
  <c r="D10" i="16"/>
  <c r="P28" i="16"/>
  <c r="H28" i="16"/>
  <c r="V28" i="16"/>
  <c r="T28" i="16"/>
  <c r="R28" i="16"/>
  <c r="L28" i="16"/>
  <c r="J28" i="16"/>
  <c r="D28" i="16"/>
  <c r="F28" i="16"/>
  <c r="N28" i="16"/>
  <c r="V33" i="16"/>
  <c r="D33" i="16"/>
  <c r="F33" i="16"/>
  <c r="R33" i="16"/>
  <c r="P33" i="16"/>
  <c r="H33" i="16"/>
  <c r="J33" i="16"/>
  <c r="L33" i="16"/>
  <c r="T33" i="16"/>
  <c r="N33" i="16"/>
  <c r="N8" i="16"/>
  <c r="R8" i="16"/>
  <c r="V8" i="16"/>
  <c r="F8" i="16"/>
  <c r="J8" i="16"/>
  <c r="T8" i="16"/>
  <c r="P8" i="16"/>
  <c r="L8" i="16"/>
  <c r="H8" i="16"/>
  <c r="D8" i="16"/>
  <c r="J37" i="16"/>
  <c r="N37" i="16"/>
  <c r="T37" i="16"/>
  <c r="L37" i="16"/>
  <c r="F37" i="16"/>
  <c r="V37" i="16"/>
  <c r="D37" i="16"/>
  <c r="R37" i="16"/>
  <c r="H37" i="16"/>
  <c r="P37" i="16"/>
  <c r="V6" i="16"/>
  <c r="D6" i="16"/>
  <c r="L6" i="16"/>
  <c r="P6" i="16"/>
  <c r="R6" i="16"/>
  <c r="N6" i="16"/>
  <c r="F6" i="16"/>
  <c r="H6" i="16"/>
  <c r="T6" i="16"/>
  <c r="J6" i="16"/>
  <c r="L12" i="16"/>
  <c r="D12" i="16"/>
  <c r="F12" i="16"/>
  <c r="N12" i="16"/>
  <c r="R12" i="16"/>
  <c r="H12" i="16"/>
  <c r="J12" i="16"/>
  <c r="V12" i="16"/>
  <c r="P12" i="16"/>
  <c r="T12" i="16"/>
  <c r="R25" i="16"/>
  <c r="V25" i="16"/>
  <c r="P25" i="16"/>
  <c r="L25" i="16"/>
  <c r="T25" i="16"/>
  <c r="N25" i="16"/>
  <c r="D25" i="16"/>
  <c r="J25" i="16"/>
  <c r="F25" i="16"/>
  <c r="H25" i="16"/>
  <c r="H39" i="16"/>
  <c r="D39" i="16"/>
  <c r="L39" i="16"/>
  <c r="T39" i="16"/>
  <c r="F39" i="16"/>
  <c r="J39" i="16"/>
  <c r="N39" i="16"/>
  <c r="P39" i="16"/>
  <c r="R39" i="16"/>
  <c r="V39" i="16"/>
  <c r="J18" i="16"/>
  <c r="R18" i="16"/>
  <c r="P18" i="16"/>
  <c r="L18" i="16"/>
  <c r="N18" i="16"/>
  <c r="D18" i="16"/>
  <c r="F18" i="16"/>
  <c r="T18" i="16"/>
  <c r="V18" i="16"/>
  <c r="H18" i="16"/>
  <c r="F43" i="16"/>
  <c r="R43" i="16"/>
  <c r="T43" i="16"/>
  <c r="N43" i="16"/>
  <c r="L43" i="16"/>
  <c r="V43" i="16"/>
  <c r="D43" i="16"/>
  <c r="J43" i="16"/>
  <c r="H43" i="16"/>
  <c r="P43" i="16"/>
  <c r="P31" i="16"/>
  <c r="L31" i="16"/>
  <c r="D31" i="16"/>
  <c r="H31" i="16"/>
  <c r="T31" i="16"/>
  <c r="N31" i="16"/>
  <c r="J31" i="16"/>
  <c r="F31" i="16"/>
  <c r="V31" i="16"/>
  <c r="R31" i="16"/>
  <c r="J26" i="16"/>
  <c r="R26" i="16"/>
  <c r="F26" i="16"/>
  <c r="V26" i="16"/>
  <c r="D26" i="16"/>
  <c r="P26" i="16"/>
  <c r="N26" i="16"/>
  <c r="L26" i="16"/>
  <c r="T26" i="16"/>
  <c r="H26" i="16"/>
  <c r="V34" i="16"/>
  <c r="F34" i="16"/>
  <c r="T34" i="16"/>
  <c r="D34" i="16"/>
  <c r="L34" i="16"/>
  <c r="J34" i="16"/>
  <c r="R34" i="16"/>
  <c r="N34" i="16"/>
  <c r="H34" i="16"/>
  <c r="P34" i="16"/>
  <c r="N35" i="16"/>
  <c r="H35" i="16"/>
  <c r="P35" i="16"/>
  <c r="T35" i="16"/>
  <c r="L35" i="16"/>
  <c r="F35" i="16"/>
  <c r="D35" i="16"/>
  <c r="J35" i="16"/>
  <c r="V35" i="16"/>
  <c r="R35" i="16"/>
  <c r="R9" i="16"/>
  <c r="F9" i="16"/>
  <c r="L9" i="16"/>
  <c r="D9" i="16"/>
  <c r="T9" i="16"/>
  <c r="J9" i="16"/>
  <c r="V9" i="16"/>
  <c r="H9" i="16"/>
  <c r="P9" i="16"/>
  <c r="N9" i="16"/>
  <c r="J23" i="16"/>
  <c r="F23" i="16"/>
  <c r="V23" i="16"/>
  <c r="P23" i="16"/>
  <c r="T23" i="16"/>
  <c r="L23" i="16"/>
  <c r="N23" i="16"/>
  <c r="D23" i="16"/>
  <c r="R23" i="16"/>
  <c r="H23" i="16"/>
  <c r="V14" i="16"/>
  <c r="T14" i="16"/>
  <c r="L14" i="16"/>
  <c r="F14" i="16"/>
  <c r="R14" i="16"/>
  <c r="P14" i="16"/>
  <c r="D14" i="16"/>
  <c r="N14" i="16"/>
  <c r="J14" i="16"/>
  <c r="H14" i="16"/>
  <c r="H30" i="16"/>
  <c r="V30" i="16"/>
  <c r="J30" i="16"/>
  <c r="R30" i="16"/>
  <c r="D30" i="16"/>
  <c r="T30" i="16"/>
  <c r="F30" i="16"/>
  <c r="L30" i="16"/>
  <c r="P30" i="16"/>
  <c r="N30" i="16"/>
  <c r="V27" i="16"/>
  <c r="F27" i="16"/>
  <c r="H27" i="16"/>
  <c r="P27" i="16"/>
  <c r="R27" i="16"/>
  <c r="D27" i="16"/>
  <c r="J27" i="16"/>
  <c r="T27" i="16"/>
  <c r="L27" i="16"/>
  <c r="N27" i="16"/>
  <c r="T40" i="16"/>
  <c r="N40" i="16"/>
  <c r="V40" i="16"/>
  <c r="F40" i="16"/>
  <c r="P40" i="16"/>
  <c r="R40" i="16"/>
  <c r="H40" i="16"/>
  <c r="D40" i="16"/>
  <c r="J40" i="16"/>
  <c r="L40" i="16"/>
  <c r="J15" i="16"/>
  <c r="L15" i="16"/>
  <c r="F15" i="16"/>
  <c r="H15" i="16"/>
  <c r="N15" i="16"/>
  <c r="V15" i="16"/>
  <c r="P15" i="16"/>
  <c r="D15" i="16"/>
  <c r="T15" i="16"/>
  <c r="R15" i="16"/>
  <c r="V36" i="16"/>
  <c r="H36" i="16"/>
  <c r="F36" i="16"/>
  <c r="N36" i="16"/>
  <c r="T36" i="16"/>
  <c r="L36" i="16"/>
  <c r="P36" i="16"/>
  <c r="D36" i="16"/>
  <c r="R36" i="16"/>
  <c r="J36" i="16"/>
  <c r="R22" i="16"/>
  <c r="H22" i="16"/>
  <c r="J22" i="16"/>
  <c r="L22" i="16"/>
  <c r="P22" i="16"/>
  <c r="N22" i="16"/>
  <c r="V22" i="16"/>
  <c r="T22" i="16"/>
  <c r="F22" i="16"/>
  <c r="D22" i="16"/>
  <c r="T45" i="16"/>
  <c r="L45" i="16"/>
  <c r="H45" i="16"/>
  <c r="P45" i="16"/>
  <c r="N45" i="16"/>
  <c r="J45" i="16"/>
  <c r="V45" i="16"/>
  <c r="D45" i="16"/>
  <c r="R45" i="16"/>
  <c r="F45" i="16"/>
  <c r="L19" i="16"/>
  <c r="F19" i="16"/>
  <c r="R19" i="16"/>
  <c r="N19" i="16"/>
  <c r="H19" i="16"/>
  <c r="P19" i="16"/>
  <c r="T19" i="16"/>
  <c r="V19" i="16"/>
  <c r="J19" i="16"/>
  <c r="D19" i="16"/>
  <c r="P32" i="16"/>
  <c r="L32" i="16"/>
  <c r="H32" i="16"/>
  <c r="N32" i="16"/>
  <c r="T32" i="16"/>
  <c r="V32" i="16"/>
  <c r="R32" i="16"/>
  <c r="F32" i="16"/>
  <c r="D32" i="16"/>
  <c r="J32" i="16"/>
  <c r="R7" i="16"/>
  <c r="V7" i="16"/>
  <c r="H7" i="16"/>
  <c r="N7" i="16"/>
  <c r="F7" i="16"/>
  <c r="L7" i="16"/>
  <c r="P7" i="16"/>
  <c r="D7" i="16"/>
  <c r="J7" i="16"/>
  <c r="T7" i="16"/>
  <c r="J10" i="15"/>
  <c r="G25" i="10"/>
  <c r="G27" i="10"/>
  <c r="AC24" i="10"/>
  <c r="AY24" i="10" s="1"/>
  <c r="BU24" i="10" s="1"/>
  <c r="B10" i="10"/>
  <c r="C2" i="13" l="1"/>
  <c r="D1" i="16" s="1"/>
  <c r="AV5" i="10"/>
  <c r="AQ5" i="10"/>
  <c r="AI25" i="10" s="1"/>
  <c r="AV10" i="10"/>
  <c r="AO10" i="10"/>
  <c r="AV9" i="10"/>
  <c r="AQ9" i="10"/>
  <c r="AL9" i="10"/>
  <c r="AV7" i="10"/>
  <c r="BI34" i="10" s="1"/>
  <c r="AQ7" i="10"/>
  <c r="AL7" i="10"/>
  <c r="AV6" i="10"/>
  <c r="AQ6" i="10"/>
  <c r="AL6" i="10"/>
  <c r="E18" i="10"/>
  <c r="E17" i="10"/>
  <c r="S15" i="10"/>
  <c r="BE25" i="10" l="1"/>
  <c r="BE24" i="10"/>
  <c r="H5" i="15"/>
  <c r="I5" i="15" s="1"/>
  <c r="H3" i="15"/>
  <c r="I3" i="15" s="1"/>
  <c r="W43" i="16"/>
  <c r="W35" i="16"/>
  <c r="W27" i="16"/>
  <c r="W19" i="16"/>
  <c r="U44" i="16"/>
  <c r="U36" i="16"/>
  <c r="U20" i="16"/>
  <c r="U12" i="16"/>
  <c r="S45" i="16"/>
  <c r="S37" i="16"/>
  <c r="S21" i="16"/>
  <c r="S13" i="16"/>
  <c r="S5" i="16"/>
  <c r="Q38" i="16"/>
  <c r="Q30" i="16"/>
  <c r="Q22" i="16"/>
  <c r="Q14" i="16"/>
  <c r="O39" i="16"/>
  <c r="O31" i="16"/>
  <c r="O23" i="16"/>
  <c r="O15" i="16"/>
  <c r="O7" i="16"/>
  <c r="M40" i="16"/>
  <c r="M32" i="16"/>
  <c r="M16" i="16"/>
  <c r="M8" i="16"/>
  <c r="K41" i="16"/>
  <c r="K33" i="16"/>
  <c r="K25" i="16"/>
  <c r="K17" i="16"/>
  <c r="K9" i="16"/>
  <c r="I42" i="16"/>
  <c r="I34" i="16"/>
  <c r="I26" i="16"/>
  <c r="I10" i="16"/>
  <c r="G43" i="16"/>
  <c r="G35" i="16"/>
  <c r="G27" i="16"/>
  <c r="G11" i="16"/>
  <c r="E7" i="16"/>
  <c r="E15" i="16"/>
  <c r="E23" i="16"/>
  <c r="E31" i="16"/>
  <c r="E39" i="16"/>
  <c r="W8" i="16"/>
  <c r="M21" i="16"/>
  <c r="K38" i="16"/>
  <c r="K14" i="16"/>
  <c r="I31" i="16"/>
  <c r="I7" i="16"/>
  <c r="G24" i="16"/>
  <c r="E10" i="16"/>
  <c r="W34" i="16"/>
  <c r="W26" i="16"/>
  <c r="W18" i="16"/>
  <c r="W10" i="16"/>
  <c r="U43" i="16"/>
  <c r="U35" i="16"/>
  <c r="U19" i="16"/>
  <c r="U11" i="16"/>
  <c r="S36" i="16"/>
  <c r="S28" i="16"/>
  <c r="S20" i="16"/>
  <c r="S12" i="16"/>
  <c r="Q37" i="16"/>
  <c r="Q29" i="16"/>
  <c r="Q13" i="16"/>
  <c r="Q5" i="16"/>
  <c r="O38" i="16"/>
  <c r="O30" i="16"/>
  <c r="O22" i="16"/>
  <c r="O14" i="16"/>
  <c r="O6" i="16"/>
  <c r="M39" i="16"/>
  <c r="M31" i="16"/>
  <c r="M23" i="16"/>
  <c r="M15" i="16"/>
  <c r="M7" i="16"/>
  <c r="K40" i="16"/>
  <c r="K32" i="16"/>
  <c r="K24" i="16"/>
  <c r="K16" i="16"/>
  <c r="K8" i="16"/>
  <c r="I41" i="16"/>
  <c r="I33" i="16"/>
  <c r="I25" i="16"/>
  <c r="I9" i="16"/>
  <c r="G42" i="16"/>
  <c r="G26" i="16"/>
  <c r="G18" i="16"/>
  <c r="G10" i="16"/>
  <c r="E8" i="16"/>
  <c r="E24" i="16"/>
  <c r="E32" i="16"/>
  <c r="E40" i="16"/>
  <c r="W32" i="16"/>
  <c r="W16" i="16"/>
  <c r="U41" i="16"/>
  <c r="U33" i="16"/>
  <c r="U17" i="16"/>
  <c r="S42" i="16"/>
  <c r="S26" i="16"/>
  <c r="S10" i="16"/>
  <c r="Q35" i="16"/>
  <c r="Q19" i="16"/>
  <c r="O44" i="16"/>
  <c r="O20" i="16"/>
  <c r="M29" i="16"/>
  <c r="M5" i="16"/>
  <c r="K22" i="16"/>
  <c r="I39" i="16"/>
  <c r="I15" i="16"/>
  <c r="G32" i="16"/>
  <c r="G16" i="16"/>
  <c r="E18" i="16"/>
  <c r="W41" i="16"/>
  <c r="W33" i="16"/>
  <c r="W25" i="16"/>
  <c r="W17" i="16"/>
  <c r="W9" i="16"/>
  <c r="U42" i="16"/>
  <c r="U34" i="16"/>
  <c r="U26" i="16"/>
  <c r="U18" i="16"/>
  <c r="U10" i="16"/>
  <c r="S43" i="16"/>
  <c r="S35" i="16"/>
  <c r="S27" i="16"/>
  <c r="S19" i="16"/>
  <c r="S11" i="16"/>
  <c r="Q44" i="16"/>
  <c r="Q36" i="16"/>
  <c r="Q28" i="16"/>
  <c r="Q20" i="16"/>
  <c r="Q12" i="16"/>
  <c r="O45" i="16"/>
  <c r="O37" i="16"/>
  <c r="O29" i="16"/>
  <c r="O21" i="16"/>
  <c r="O13" i="16"/>
  <c r="O5" i="16"/>
  <c r="M38" i="16"/>
  <c r="M30" i="16"/>
  <c r="M22" i="16"/>
  <c r="M14" i="16"/>
  <c r="M6" i="16"/>
  <c r="K39" i="16"/>
  <c r="K31" i="16"/>
  <c r="K23" i="16"/>
  <c r="K15" i="16"/>
  <c r="K7" i="16"/>
  <c r="I40" i="16"/>
  <c r="I32" i="16"/>
  <c r="I24" i="16"/>
  <c r="I16" i="16"/>
  <c r="I8" i="16"/>
  <c r="G41" i="16"/>
  <c r="G33" i="16"/>
  <c r="G25" i="16"/>
  <c r="G17" i="16"/>
  <c r="G9" i="16"/>
  <c r="E9" i="16"/>
  <c r="E17" i="16"/>
  <c r="E25" i="16"/>
  <c r="E33" i="16"/>
  <c r="E41" i="16"/>
  <c r="W24" i="16"/>
  <c r="U25" i="16"/>
  <c r="U9" i="16"/>
  <c r="S34" i="16"/>
  <c r="S18" i="16"/>
  <c r="Q43" i="16"/>
  <c r="Q27" i="16"/>
  <c r="Q11" i="16"/>
  <c r="O28" i="16"/>
  <c r="O12" i="16"/>
  <c r="M37" i="16"/>
  <c r="M13" i="16"/>
  <c r="K6" i="16"/>
  <c r="I23" i="16"/>
  <c r="G40" i="16"/>
  <c r="G8" i="16"/>
  <c r="E26" i="16"/>
  <c r="W40" i="16"/>
  <c r="W39" i="16"/>
  <c r="W31" i="16"/>
  <c r="W23" i="16"/>
  <c r="W15" i="16"/>
  <c r="W7" i="16"/>
  <c r="U40" i="16"/>
  <c r="U32" i="16"/>
  <c r="U24" i="16"/>
  <c r="U16" i="16"/>
  <c r="U8" i="16"/>
  <c r="S41" i="16"/>
  <c r="S33" i="16"/>
  <c r="S25" i="16"/>
  <c r="S17" i="16"/>
  <c r="S9" i="16"/>
  <c r="Q42" i="16"/>
  <c r="Q34" i="16"/>
  <c r="Q26" i="16"/>
  <c r="Q18" i="16"/>
  <c r="Q10" i="16"/>
  <c r="O43" i="16"/>
  <c r="O35" i="16"/>
  <c r="O27" i="16"/>
  <c r="O19" i="16"/>
  <c r="O11" i="16"/>
  <c r="M44" i="16"/>
  <c r="M36" i="16"/>
  <c r="M28" i="16"/>
  <c r="M20" i="16"/>
  <c r="M12" i="16"/>
  <c r="K45" i="16"/>
  <c r="K37" i="16"/>
  <c r="K29" i="16"/>
  <c r="K21" i="16"/>
  <c r="K13" i="16"/>
  <c r="K5" i="16"/>
  <c r="I38" i="16"/>
  <c r="I30" i="16"/>
  <c r="I22" i="16"/>
  <c r="I14" i="16"/>
  <c r="I6" i="16"/>
  <c r="G39" i="16"/>
  <c r="G31" i="16"/>
  <c r="G23" i="16"/>
  <c r="G15" i="16"/>
  <c r="G7" i="16"/>
  <c r="E11" i="16"/>
  <c r="E19" i="16"/>
  <c r="E27" i="16"/>
  <c r="E35" i="16"/>
  <c r="E43" i="16"/>
  <c r="W38" i="16"/>
  <c r="W30" i="16"/>
  <c r="W22" i="16"/>
  <c r="W14" i="16"/>
  <c r="W6" i="16"/>
  <c r="U39" i="16"/>
  <c r="U31" i="16"/>
  <c r="U23" i="16"/>
  <c r="U15" i="16"/>
  <c r="U7" i="16"/>
  <c r="S40" i="16"/>
  <c r="S32" i="16"/>
  <c r="S24" i="16"/>
  <c r="S16" i="16"/>
  <c r="S8" i="16"/>
  <c r="Q41" i="16"/>
  <c r="Q33" i="16"/>
  <c r="Q25" i="16"/>
  <c r="Q17" i="16"/>
  <c r="Q9" i="16"/>
  <c r="O42" i="16"/>
  <c r="O34" i="16"/>
  <c r="O26" i="16"/>
  <c r="O18" i="16"/>
  <c r="O10" i="16"/>
  <c r="M43" i="16"/>
  <c r="M35" i="16"/>
  <c r="M27" i="16"/>
  <c r="M19" i="16"/>
  <c r="W45" i="16"/>
  <c r="W13" i="16"/>
  <c r="U22" i="16"/>
  <c r="S31" i="16"/>
  <c r="Q40" i="16"/>
  <c r="Q8" i="16"/>
  <c r="O17" i="16"/>
  <c r="M26" i="16"/>
  <c r="K43" i="16"/>
  <c r="K20" i="16"/>
  <c r="I43" i="16"/>
  <c r="I20" i="16"/>
  <c r="G38" i="16"/>
  <c r="G20" i="16"/>
  <c r="E13" i="16"/>
  <c r="E36" i="16"/>
  <c r="I19" i="16"/>
  <c r="G14" i="16"/>
  <c r="E37" i="16"/>
  <c r="K10" i="16"/>
  <c r="G5" i="16"/>
  <c r="U30" i="16"/>
  <c r="M34" i="16"/>
  <c r="G45" i="16"/>
  <c r="U29" i="16"/>
  <c r="M33" i="16"/>
  <c r="I21" i="16"/>
  <c r="W44" i="16"/>
  <c r="W12" i="16"/>
  <c r="U21" i="16"/>
  <c r="S30" i="16"/>
  <c r="Q39" i="16"/>
  <c r="Q7" i="16"/>
  <c r="O16" i="16"/>
  <c r="M25" i="16"/>
  <c r="K42" i="16"/>
  <c r="K19" i="16"/>
  <c r="I37" i="16"/>
  <c r="G37" i="16"/>
  <c r="E14" i="16"/>
  <c r="I5" i="16"/>
  <c r="E45" i="16"/>
  <c r="S7" i="16"/>
  <c r="I45" i="16"/>
  <c r="S6" i="16"/>
  <c r="K44" i="16"/>
  <c r="G21" i="16"/>
  <c r="W37" i="16"/>
  <c r="W5" i="16"/>
  <c r="U14" i="16"/>
  <c r="S23" i="16"/>
  <c r="Q32" i="16"/>
  <c r="O41" i="16"/>
  <c r="O9" i="16"/>
  <c r="M18" i="16"/>
  <c r="K36" i="16"/>
  <c r="K18" i="16"/>
  <c r="I36" i="16"/>
  <c r="I13" i="16"/>
  <c r="G36" i="16"/>
  <c r="G13" i="16"/>
  <c r="E20" i="16"/>
  <c r="E38" i="16"/>
  <c r="K28" i="16"/>
  <c r="E28" i="16"/>
  <c r="S39" i="16"/>
  <c r="M9" i="16"/>
  <c r="E6" i="16"/>
  <c r="W20" i="16"/>
  <c r="I44" i="16"/>
  <c r="W36" i="16"/>
  <c r="U45" i="16"/>
  <c r="U13" i="16"/>
  <c r="S22" i="16"/>
  <c r="Q31" i="16"/>
  <c r="O40" i="16"/>
  <c r="O8" i="16"/>
  <c r="M17" i="16"/>
  <c r="K35" i="16"/>
  <c r="K12" i="16"/>
  <c r="I35" i="16"/>
  <c r="I12" i="16"/>
  <c r="G30" i="16"/>
  <c r="G12" i="16"/>
  <c r="E21" i="16"/>
  <c r="E42" i="16"/>
  <c r="G28" i="16"/>
  <c r="Q16" i="16"/>
  <c r="K27" i="16"/>
  <c r="G22" i="16"/>
  <c r="Q15" i="16"/>
  <c r="K26" i="16"/>
  <c r="E12" i="16"/>
  <c r="W29" i="16"/>
  <c r="U38" i="16"/>
  <c r="U6" i="16"/>
  <c r="S15" i="16"/>
  <c r="Q24" i="16"/>
  <c r="O33" i="16"/>
  <c r="M42" i="16"/>
  <c r="M11" i="16"/>
  <c r="K34" i="16"/>
  <c r="K11" i="16"/>
  <c r="I29" i="16"/>
  <c r="I11" i="16"/>
  <c r="G29" i="16"/>
  <c r="G6" i="16"/>
  <c r="E22" i="16"/>
  <c r="E44" i="16"/>
  <c r="W28" i="16"/>
  <c r="U37" i="16"/>
  <c r="U5" i="16"/>
  <c r="S14" i="16"/>
  <c r="Q23" i="16"/>
  <c r="O32" i="16"/>
  <c r="M41" i="16"/>
  <c r="M10" i="16"/>
  <c r="I28" i="16"/>
  <c r="W21" i="16"/>
  <c r="O25" i="16"/>
  <c r="I27" i="16"/>
  <c r="E29" i="16"/>
  <c r="S38" i="16"/>
  <c r="O24" i="16"/>
  <c r="G44" i="16"/>
  <c r="E30" i="16"/>
  <c r="AL5" i="10"/>
  <c r="Q45" i="16"/>
  <c r="S44" i="16"/>
  <c r="G34" i="16"/>
  <c r="U27" i="16"/>
  <c r="E34" i="16"/>
  <c r="O36" i="16"/>
  <c r="W11" i="16"/>
  <c r="M45" i="16"/>
  <c r="Q21" i="16"/>
  <c r="G19" i="16"/>
  <c r="E5" i="16"/>
  <c r="K30" i="16"/>
  <c r="U28" i="16"/>
  <c r="Q6" i="16"/>
  <c r="M24" i="16"/>
  <c r="S29" i="16"/>
  <c r="I17" i="16"/>
  <c r="E16" i="16"/>
  <c r="W42" i="16"/>
  <c r="I18" i="16"/>
  <c r="I1" i="10"/>
  <c r="AO2" i="10" s="1"/>
  <c r="B3" i="11"/>
  <c r="J15" i="10"/>
  <c r="D18" i="11" l="1"/>
  <c r="AZ39" i="10"/>
  <c r="I2" i="15"/>
  <c r="J2" i="15"/>
  <c r="AI14" i="10"/>
  <c r="BE27" i="10"/>
  <c r="BE26" i="10"/>
  <c r="S16" i="10"/>
  <c r="S17" i="10"/>
  <c r="S18" i="10"/>
  <c r="V16" i="10"/>
  <c r="V17" i="10"/>
  <c r="V18" i="10"/>
  <c r="V19" i="10" s="1"/>
  <c r="S19" i="10" l="1"/>
  <c r="G13" i="11"/>
  <c r="G14" i="11"/>
  <c r="E5" i="10" s="1"/>
  <c r="G15" i="11"/>
  <c r="E6" i="10" s="1"/>
  <c r="L17" i="10" s="1"/>
  <c r="G16" i="11"/>
  <c r="B31" i="10"/>
  <c r="Y7" i="10"/>
  <c r="B30" i="10"/>
  <c r="K31" i="10"/>
  <c r="E4" i="10" l="1"/>
  <c r="O4" i="10" s="1"/>
  <c r="AT24" i="10" s="1"/>
  <c r="L15" i="10"/>
  <c r="Q31" i="10"/>
  <c r="Y6" i="10"/>
  <c r="L16" i="10"/>
  <c r="Y16" i="10" s="1"/>
  <c r="O5" i="10"/>
  <c r="Y4" i="10"/>
  <c r="Y15" i="10"/>
  <c r="X24" i="10"/>
  <c r="BP24" i="10"/>
  <c r="CE24" i="10" s="1"/>
  <c r="BP25" i="10"/>
  <c r="CE25" i="10" s="1"/>
  <c r="Y5" i="10"/>
  <c r="L18" i="10"/>
  <c r="Y18" i="10" s="1"/>
  <c r="BP27" i="10"/>
  <c r="Y17" i="10"/>
  <c r="BP26" i="10"/>
  <c r="CE26" i="10" s="1"/>
  <c r="Q34" i="10"/>
  <c r="AY13" i="10"/>
  <c r="BC13" i="10" s="1"/>
  <c r="BF42" i="10"/>
  <c r="L19" i="10" l="1"/>
  <c r="Y19" i="10"/>
  <c r="U56" i="10"/>
  <c r="U52" i="10"/>
  <c r="U48" i="10"/>
  <c r="U44" i="10"/>
  <c r="N56" i="10"/>
  <c r="AP54" i="10"/>
  <c r="N52" i="10"/>
  <c r="AP50" i="10"/>
  <c r="N48" i="10"/>
  <c r="AP46" i="10"/>
  <c r="N44" i="10"/>
  <c r="G56" i="10"/>
  <c r="AI54" i="10"/>
  <c r="G52" i="10"/>
  <c r="AI50" i="10"/>
  <c r="G48" i="10"/>
  <c r="AI46" i="10"/>
  <c r="G44" i="10"/>
  <c r="AB54" i="10"/>
  <c r="AB50" i="10"/>
  <c r="AB46" i="10"/>
  <c r="AB48" i="10"/>
  <c r="U54" i="10"/>
  <c r="U50" i="10"/>
  <c r="U46" i="10"/>
  <c r="AP56" i="10"/>
  <c r="N54" i="10"/>
  <c r="AP52" i="10"/>
  <c r="N50" i="10"/>
  <c r="AP48" i="10"/>
  <c r="N46" i="10"/>
  <c r="AP44" i="10"/>
  <c r="AI56" i="10"/>
  <c r="G54" i="10"/>
  <c r="AI52" i="10"/>
  <c r="G50" i="10"/>
  <c r="AI48" i="10"/>
  <c r="G46" i="10"/>
  <c r="AI44" i="10"/>
  <c r="AB56" i="10"/>
  <c r="AB52" i="10"/>
  <c r="AB44" i="10"/>
  <c r="AY14" i="10"/>
  <c r="BF40" i="10" l="1"/>
  <c r="G43" i="10" s="1"/>
  <c r="AG31" i="10"/>
  <c r="X31" i="10"/>
  <c r="BC30" i="10"/>
  <c r="AG30" i="10"/>
  <c r="X30" i="10"/>
  <c r="K30" i="10"/>
  <c r="AI27" i="10"/>
  <c r="X27" i="10"/>
  <c r="M27" i="10"/>
  <c r="Q27" i="10" s="1"/>
  <c r="B27" i="10"/>
  <c r="AI26" i="10"/>
  <c r="X26" i="10"/>
  <c r="M26" i="10"/>
  <c r="Q26" i="10" s="1"/>
  <c r="B26" i="10"/>
  <c r="X25" i="10"/>
  <c r="M25" i="10"/>
  <c r="B25" i="10"/>
  <c r="AI24" i="10"/>
  <c r="AC27" i="10"/>
  <c r="AY27" i="10" s="1"/>
  <c r="BU27" i="10" s="1"/>
  <c r="CE27" i="10" s="1"/>
  <c r="M24" i="10"/>
  <c r="B24" i="10"/>
  <c r="AI15" i="10"/>
  <c r="J18" i="10"/>
  <c r="E19" i="10" s="1"/>
  <c r="J17" i="10"/>
  <c r="J16" i="10"/>
  <c r="Q24" i="10" l="1"/>
  <c r="D23" i="11"/>
  <c r="BC17" i="10"/>
  <c r="AM27" i="10"/>
  <c r="Q25" i="10"/>
  <c r="AM24" i="10"/>
  <c r="G55" i="10"/>
  <c r="AI53" i="10"/>
  <c r="G51" i="10"/>
  <c r="AI49" i="10"/>
  <c r="G47" i="10"/>
  <c r="AI45" i="10"/>
  <c r="AB53" i="10"/>
  <c r="AB49" i="10"/>
  <c r="AB45" i="10"/>
  <c r="U53" i="10"/>
  <c r="U49" i="10"/>
  <c r="U45" i="10"/>
  <c r="AP55" i="10"/>
  <c r="N53" i="10"/>
  <c r="AP51" i="10"/>
  <c r="N49" i="10"/>
  <c r="AP47" i="10"/>
  <c r="N45" i="10"/>
  <c r="AP43" i="10"/>
  <c r="N51" i="10"/>
  <c r="AP45" i="10"/>
  <c r="AI55" i="10"/>
  <c r="G53" i="10"/>
  <c r="AI51" i="10"/>
  <c r="G49" i="10"/>
  <c r="AI47" i="10"/>
  <c r="G45" i="10"/>
  <c r="AI43" i="10"/>
  <c r="AB55" i="10"/>
  <c r="AB51" i="10"/>
  <c r="AB47" i="10"/>
  <c r="AB43" i="10"/>
  <c r="U55" i="10"/>
  <c r="U51" i="10"/>
  <c r="U47" i="10"/>
  <c r="U43" i="10"/>
  <c r="N55" i="10"/>
  <c r="AP53" i="10"/>
  <c r="AP49" i="10"/>
  <c r="N47" i="10"/>
  <c r="N43" i="10"/>
  <c r="C34" i="10"/>
  <c r="AM34" i="10"/>
  <c r="Q30" i="10"/>
  <c r="AM31" i="10"/>
  <c r="AM30" i="10"/>
  <c r="BI30" i="10"/>
  <c r="AC25" i="10"/>
  <c r="AM25" i="10" s="1"/>
  <c r="AY15" i="10"/>
  <c r="AC26" i="10"/>
  <c r="AM26" i="10" s="1"/>
  <c r="D20" i="11" l="1"/>
  <c r="AY26" i="10"/>
  <c r="BU26" i="10" s="1"/>
  <c r="AN14" i="10"/>
  <c r="BC14" i="10" s="1"/>
  <c r="AN15" i="10"/>
  <c r="BC15" i="10" s="1"/>
  <c r="AY25" i="10"/>
  <c r="BU25" i="10" s="1"/>
  <c r="AJ17" i="10" l="1"/>
  <c r="D21" i="11"/>
  <c r="BI32" i="10" l="1"/>
  <c r="E22" i="11" s="1"/>
  <c r="CE35" i="10"/>
  <c r="F23" i="11" s="1"/>
  <c r="CE32" i="10"/>
  <c r="AM32" i="10"/>
  <c r="Q32" i="10"/>
  <c r="E20" i="11" s="1"/>
  <c r="BI35" i="10"/>
  <c r="AM35" i="10"/>
  <c r="F21" i="11" s="1"/>
  <c r="Q35" i="10"/>
  <c r="BW36" i="10" l="1"/>
  <c r="CE36" i="10" s="1"/>
  <c r="G23" i="11" s="1"/>
  <c r="AE36" i="10"/>
  <c r="AM36" i="10" s="1"/>
  <c r="E21" i="11"/>
  <c r="E23" i="11"/>
  <c r="F20" i="11"/>
  <c r="I36" i="10"/>
  <c r="Q36" i="10" s="1"/>
  <c r="F22" i="11"/>
  <c r="BI24" i="10"/>
  <c r="G21" i="11" l="1"/>
  <c r="G20" i="11"/>
  <c r="AT25" i="10"/>
  <c r="BI25" i="10" s="1"/>
  <c r="AT27" i="10"/>
  <c r="BI27" i="10" s="1"/>
  <c r="AT26" i="10"/>
  <c r="BI26" i="10" s="1"/>
  <c r="CC9" i="10" l="1"/>
  <c r="CC10" i="10" s="1"/>
  <c r="D22" i="11"/>
  <c r="BA36" i="10"/>
  <c r="BI36" i="10" s="1"/>
  <c r="CC4" i="10" s="1"/>
  <c r="CC5" i="10" l="1"/>
  <c r="G22" i="11"/>
  <c r="G24" i="11" s="1"/>
  <c r="G25"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L15" authorId="0" shapeId="0" xr:uid="{8E63B281-9833-4C00-8731-C06119D6FC25}">
      <text>
        <r>
          <rPr>
            <b/>
            <sz val="9"/>
            <color indexed="81"/>
            <rFont val="MS P ゴシック"/>
            <family val="3"/>
            <charset val="128"/>
          </rPr>
          <t>作成者:
世帯主所得はギ主でも軽減判定所得に含まれます。
絶対に計算式を変更しないでください。</t>
        </r>
      </text>
    </comment>
  </commentList>
</comments>
</file>

<file path=xl/sharedStrings.xml><?xml version="1.0" encoding="utf-8"?>
<sst xmlns="http://schemas.openxmlformats.org/spreadsheetml/2006/main" count="585" uniqueCount="249">
  <si>
    <t>医療分・支援分</t>
    <rPh sb="0" eb="2">
      <t>イリョウ</t>
    </rPh>
    <rPh sb="2" eb="3">
      <t>フン</t>
    </rPh>
    <rPh sb="4" eb="6">
      <t>シエン</t>
    </rPh>
    <rPh sb="6" eb="7">
      <t>フン</t>
    </rPh>
    <phoneticPr fontId="2"/>
  </si>
  <si>
    <t>円</t>
    <rPh sb="0" eb="1">
      <t>エン</t>
    </rPh>
    <phoneticPr fontId="2"/>
  </si>
  <si>
    <t>①所得割額</t>
    <rPh sb="1" eb="3">
      <t>ショトク</t>
    </rPh>
    <rPh sb="3" eb="4">
      <t>ワリ</t>
    </rPh>
    <rPh sb="4" eb="5">
      <t>ガク</t>
    </rPh>
    <phoneticPr fontId="2"/>
  </si>
  <si>
    <t>(所得金額）</t>
    <rPh sb="1" eb="3">
      <t>ショトク</t>
    </rPh>
    <rPh sb="3" eb="5">
      <t>キンガク</t>
    </rPh>
    <phoneticPr fontId="2"/>
  </si>
  <si>
    <t>（</t>
    <phoneticPr fontId="2"/>
  </si>
  <si>
    <t>‐</t>
    <phoneticPr fontId="2"/>
  </si>
  <si>
    <t>）×</t>
    <phoneticPr fontId="2"/>
  </si>
  <si>
    <t>(基礎控除）</t>
    <rPh sb="1" eb="3">
      <t>キソ</t>
    </rPh>
    <rPh sb="3" eb="5">
      <t>コウジョ</t>
    </rPh>
    <phoneticPr fontId="2"/>
  </si>
  <si>
    <t>（税率）</t>
    <rPh sb="1" eb="3">
      <t>ゼイリツ</t>
    </rPh>
    <phoneticPr fontId="2"/>
  </si>
  <si>
    <t>(人数）</t>
    <rPh sb="1" eb="3">
      <t>ニンズウ</t>
    </rPh>
    <phoneticPr fontId="2"/>
  </si>
  <si>
    <t>人×</t>
    <rPh sb="0" eb="1">
      <t>ニン</t>
    </rPh>
    <phoneticPr fontId="2"/>
  </si>
  <si>
    <t>円＝</t>
    <rPh sb="0" eb="1">
      <t>エン</t>
    </rPh>
    <phoneticPr fontId="2"/>
  </si>
  <si>
    <t>（1世帯あたり）</t>
    <rPh sb="2" eb="4">
      <t>セタイ</t>
    </rPh>
    <phoneticPr fontId="2"/>
  </si>
  <si>
    <t>％＝</t>
    <phoneticPr fontId="2"/>
  </si>
  <si>
    <t>【医療保険分】</t>
    <rPh sb="1" eb="3">
      <t>イリョウ</t>
    </rPh>
    <rPh sb="3" eb="5">
      <t>ホケン</t>
    </rPh>
    <rPh sb="5" eb="6">
      <t>フン</t>
    </rPh>
    <phoneticPr fontId="2"/>
  </si>
  <si>
    <t>【後期高齢支援金分】</t>
    <rPh sb="1" eb="3">
      <t>コウキ</t>
    </rPh>
    <rPh sb="3" eb="5">
      <t>コウレイ</t>
    </rPh>
    <rPh sb="5" eb="7">
      <t>シエン</t>
    </rPh>
    <rPh sb="7" eb="8">
      <t>キン</t>
    </rPh>
    <rPh sb="8" eb="9">
      <t>フン</t>
    </rPh>
    <phoneticPr fontId="2"/>
  </si>
  <si>
    <t>①所得割</t>
    <rPh sb="1" eb="3">
      <t>ショトク</t>
    </rPh>
    <rPh sb="3" eb="4">
      <t>ワリ</t>
    </rPh>
    <phoneticPr fontId="2"/>
  </si>
  <si>
    <t>医療分</t>
    <rPh sb="0" eb="2">
      <t>イリョウ</t>
    </rPh>
    <rPh sb="2" eb="3">
      <t>フン</t>
    </rPh>
    <phoneticPr fontId="2"/>
  </si>
  <si>
    <t>％</t>
    <phoneticPr fontId="2"/>
  </si>
  <si>
    <t>限度額</t>
    <rPh sb="0" eb="2">
      <t>ゲンド</t>
    </rPh>
    <rPh sb="2" eb="3">
      <t>ガク</t>
    </rPh>
    <phoneticPr fontId="2"/>
  </si>
  <si>
    <t>支援金分</t>
    <rPh sb="0" eb="2">
      <t>シエン</t>
    </rPh>
    <rPh sb="2" eb="3">
      <t>キン</t>
    </rPh>
    <rPh sb="3" eb="4">
      <t>フン</t>
    </rPh>
    <phoneticPr fontId="2"/>
  </si>
  <si>
    <t>介護分</t>
    <rPh sb="0" eb="2">
      <t>カイゴ</t>
    </rPh>
    <rPh sb="2" eb="3">
      <t>フン</t>
    </rPh>
    <phoneticPr fontId="2"/>
  </si>
  <si>
    <t>人</t>
    <rPh sb="0" eb="1">
      <t>ニン</t>
    </rPh>
    <phoneticPr fontId="2"/>
  </si>
  <si>
    <t>税率・金額</t>
    <rPh sb="0" eb="2">
      <t>ゼイリツ</t>
    </rPh>
    <rPh sb="3" eb="5">
      <t>キンガク</t>
    </rPh>
    <phoneticPr fontId="2"/>
  </si>
  <si>
    <t>（１人あたり）</t>
    <rPh sb="2" eb="3">
      <t>ニン</t>
    </rPh>
    <phoneticPr fontId="2"/>
  </si>
  <si>
    <t>改め</t>
    <rPh sb="0" eb="1">
      <t>アラタ</t>
    </rPh>
    <phoneticPr fontId="2"/>
  </si>
  <si>
    <t>月額平均</t>
    <rPh sb="0" eb="1">
      <t>ツキ</t>
    </rPh>
    <rPh sb="1" eb="2">
      <t>ガク</t>
    </rPh>
    <rPh sb="2" eb="4">
      <t>ヘイキン</t>
    </rPh>
    <phoneticPr fontId="2"/>
  </si>
  <si>
    <t>国民健康保険税</t>
    <rPh sb="0" eb="2">
      <t>コクミン</t>
    </rPh>
    <rPh sb="2" eb="4">
      <t>ケンコウ</t>
    </rPh>
    <rPh sb="4" eb="6">
      <t>ホケン</t>
    </rPh>
    <rPh sb="6" eb="7">
      <t>ゼイ</t>
    </rPh>
    <phoneticPr fontId="2"/>
  </si>
  <si>
    <t>軽減金額</t>
    <rPh sb="0" eb="2">
      <t>ケイゲン</t>
    </rPh>
    <rPh sb="2" eb="4">
      <t>キンガク</t>
    </rPh>
    <phoneticPr fontId="2"/>
  </si>
  <si>
    <t>②均等割額</t>
    <rPh sb="1" eb="3">
      <t>キントウ</t>
    </rPh>
    <rPh sb="3" eb="4">
      <t>ワ</t>
    </rPh>
    <rPh sb="4" eb="5">
      <t>ガク</t>
    </rPh>
    <phoneticPr fontId="2"/>
  </si>
  <si>
    <t>③平等割額</t>
    <rPh sb="1" eb="3">
      <t>ビョウドウ</t>
    </rPh>
    <rPh sb="3" eb="4">
      <t>ワ</t>
    </rPh>
    <rPh sb="4" eb="5">
      <t>ガク</t>
    </rPh>
    <phoneticPr fontId="2"/>
  </si>
  <si>
    <t>②均等割</t>
    <rPh sb="1" eb="3">
      <t>キントウ</t>
    </rPh>
    <rPh sb="3" eb="4">
      <t>ワ</t>
    </rPh>
    <phoneticPr fontId="2"/>
  </si>
  <si>
    <t>③平等割</t>
    <rPh sb="1" eb="3">
      <t>ビョウドウ</t>
    </rPh>
    <rPh sb="3" eb="4">
      <t>ワ</t>
    </rPh>
    <phoneticPr fontId="2"/>
  </si>
  <si>
    <t>医療分　合計</t>
    <rPh sb="0" eb="2">
      <t>イリョウ</t>
    </rPh>
    <rPh sb="2" eb="3">
      <t>フン</t>
    </rPh>
    <rPh sb="4" eb="6">
      <t>ゴウケイ</t>
    </rPh>
    <phoneticPr fontId="2"/>
  </si>
  <si>
    <t>支援金分　合計</t>
    <rPh sb="0" eb="2">
      <t>シエン</t>
    </rPh>
    <rPh sb="2" eb="3">
      <t>キン</t>
    </rPh>
    <rPh sb="3" eb="4">
      <t>フン</t>
    </rPh>
    <rPh sb="5" eb="7">
      <t>ゴウケイ</t>
    </rPh>
    <phoneticPr fontId="2"/>
  </si>
  <si>
    <t>介護分　合計</t>
    <rPh sb="0" eb="2">
      <t>カイゴ</t>
    </rPh>
    <rPh sb="2" eb="3">
      <t>フン</t>
    </rPh>
    <rPh sb="4" eb="6">
      <t>ゴウケイ</t>
    </rPh>
    <phoneticPr fontId="2"/>
  </si>
  <si>
    <t>軽減判定所得</t>
    <rPh sb="0" eb="2">
      <t>ケイゲン</t>
    </rPh>
    <rPh sb="2" eb="4">
      <t>ハンテイ</t>
    </rPh>
    <rPh sb="4" eb="6">
      <t>ショトク</t>
    </rPh>
    <phoneticPr fontId="2"/>
  </si>
  <si>
    <t>（概算金額）</t>
    <rPh sb="1" eb="3">
      <t>ガイサン</t>
    </rPh>
    <rPh sb="3" eb="5">
      <t>キンガク</t>
    </rPh>
    <phoneticPr fontId="2"/>
  </si>
  <si>
    <t>介護保険分（40～64歳）</t>
    <rPh sb="0" eb="2">
      <t>カイゴ</t>
    </rPh>
    <rPh sb="2" eb="4">
      <t>ホケン</t>
    </rPh>
    <rPh sb="4" eb="5">
      <t>フン</t>
    </rPh>
    <rPh sb="11" eb="12">
      <t>サイ</t>
    </rPh>
    <phoneticPr fontId="2"/>
  </si>
  <si>
    <t>合計</t>
    <rPh sb="0" eb="2">
      <t>ゴウケイ</t>
    </rPh>
    <phoneticPr fontId="2"/>
  </si>
  <si>
    <t>Ａ</t>
    <phoneticPr fontId="2"/>
  </si>
  <si>
    <t>Ｂ</t>
    <phoneticPr fontId="2"/>
  </si>
  <si>
    <t>Ｃ</t>
    <phoneticPr fontId="2"/>
  </si>
  <si>
    <t>Ｄ</t>
    <phoneticPr fontId="2"/>
  </si>
  <si>
    <t>円以下</t>
    <rPh sb="0" eb="1">
      <t>エン</t>
    </rPh>
    <rPh sb="1" eb="3">
      <t>イカ</t>
    </rPh>
    <phoneticPr fontId="2"/>
  </si>
  <si>
    <t>判定</t>
    <rPh sb="0" eb="2">
      <t>ハンテイ</t>
    </rPh>
    <phoneticPr fontId="2"/>
  </si>
  <si>
    <t>割軽減</t>
    <rPh sb="0" eb="1">
      <t>ワリ</t>
    </rPh>
    <rPh sb="1" eb="3">
      <t>ケイゲン</t>
    </rPh>
    <phoneticPr fontId="2"/>
  </si>
  <si>
    <t>世帯主</t>
    <rPh sb="0" eb="2">
      <t>セタイ</t>
    </rPh>
    <rPh sb="2" eb="3">
      <t>ヌシ</t>
    </rPh>
    <phoneticPr fontId="2"/>
  </si>
  <si>
    <t>世帯員</t>
    <rPh sb="0" eb="3">
      <t>セタイイン</t>
    </rPh>
    <phoneticPr fontId="2"/>
  </si>
  <si>
    <t>特同</t>
    <rPh sb="0" eb="1">
      <t>トク</t>
    </rPh>
    <rPh sb="1" eb="2">
      <t>ドウ</t>
    </rPh>
    <phoneticPr fontId="2"/>
  </si>
  <si>
    <t>加入者数（ギ主含まない、特同含む。）</t>
    <rPh sb="0" eb="3">
      <t>カニュウシャ</t>
    </rPh>
    <rPh sb="3" eb="4">
      <t>スウ</t>
    </rPh>
    <rPh sb="6" eb="7">
      <t>ヌシ</t>
    </rPh>
    <rPh sb="7" eb="8">
      <t>フク</t>
    </rPh>
    <rPh sb="12" eb="13">
      <t>トク</t>
    </rPh>
    <rPh sb="13" eb="14">
      <t>ドウ</t>
    </rPh>
    <rPh sb="14" eb="15">
      <t>フク</t>
    </rPh>
    <phoneticPr fontId="2"/>
  </si>
  <si>
    <t>給与・年金の人の数（ギ主含む、特同含む）</t>
    <rPh sb="0" eb="2">
      <t>キュウヨ</t>
    </rPh>
    <rPh sb="3" eb="5">
      <t>ネンキン</t>
    </rPh>
    <rPh sb="6" eb="7">
      <t>ニン</t>
    </rPh>
    <rPh sb="8" eb="9">
      <t>カズ</t>
    </rPh>
    <rPh sb="11" eb="12">
      <t>ヌシ</t>
    </rPh>
    <rPh sb="12" eb="13">
      <t>フク</t>
    </rPh>
    <rPh sb="15" eb="16">
      <t>トク</t>
    </rPh>
    <rPh sb="16" eb="17">
      <t>ドウ</t>
    </rPh>
    <rPh sb="17" eb="18">
      <t>フク</t>
    </rPh>
    <phoneticPr fontId="2"/>
  </si>
  <si>
    <t>2割軽減</t>
    <rPh sb="1" eb="2">
      <t>ワリ</t>
    </rPh>
    <rPh sb="2" eb="4">
      <t>ケイゲン</t>
    </rPh>
    <phoneticPr fontId="2"/>
  </si>
  <si>
    <t>5割軽減</t>
    <rPh sb="1" eb="2">
      <t>ワリ</t>
    </rPh>
    <rPh sb="2" eb="4">
      <t>ケイゲン</t>
    </rPh>
    <phoneticPr fontId="2"/>
  </si>
  <si>
    <t>ギ主×</t>
    <rPh sb="1" eb="2">
      <t>ヌシ</t>
    </rPh>
    <phoneticPr fontId="2"/>
  </si>
  <si>
    <t>2割</t>
    <rPh sb="1" eb="2">
      <t>ワリ</t>
    </rPh>
    <phoneticPr fontId="2"/>
  </si>
  <si>
    <t>5割</t>
    <rPh sb="1" eb="2">
      <t>ワリ</t>
    </rPh>
    <phoneticPr fontId="2"/>
  </si>
  <si>
    <t>世帯の状況：選択</t>
    <rPh sb="0" eb="2">
      <t>セタイ</t>
    </rPh>
    <rPh sb="3" eb="5">
      <t>ジョウキョウ</t>
    </rPh>
    <rPh sb="6" eb="8">
      <t>センタク</t>
    </rPh>
    <phoneticPr fontId="2"/>
  </si>
  <si>
    <t>所得金額</t>
    <rPh sb="0" eb="2">
      <t>ショトク</t>
    </rPh>
    <rPh sb="2" eb="4">
      <t>キンガク</t>
    </rPh>
    <phoneticPr fontId="2"/>
  </si>
  <si>
    <t>軽減判定所得</t>
    <phoneticPr fontId="2"/>
  </si>
  <si>
    <t>≪軽減判定用所得≫</t>
    <rPh sb="1" eb="3">
      <t>ケイゲン</t>
    </rPh>
    <rPh sb="3" eb="6">
      <t>ハンテイヨウ</t>
    </rPh>
    <rPh sb="6" eb="8">
      <t>ショトク</t>
    </rPh>
    <phoneticPr fontId="2"/>
  </si>
  <si>
    <t>7割</t>
    <rPh sb="1" eb="2">
      <t>ワリ</t>
    </rPh>
    <phoneticPr fontId="2"/>
  </si>
  <si>
    <t>万円×</t>
    <rPh sb="1" eb="2">
      <t>エン</t>
    </rPh>
    <phoneticPr fontId="2"/>
  </si>
  <si>
    <t>〇</t>
    <phoneticPr fontId="2"/>
  </si>
  <si>
    <t>軽減判定金額</t>
    <rPh sb="0" eb="2">
      <t>ケイゲン</t>
    </rPh>
    <rPh sb="2" eb="4">
      <t>ハンテイ</t>
    </rPh>
    <rPh sb="4" eb="6">
      <t>キンガク</t>
    </rPh>
    <phoneticPr fontId="2"/>
  </si>
  <si>
    <t>給与・
年金〇
選択</t>
    <rPh sb="0" eb="2">
      <t>キュウヨ</t>
    </rPh>
    <rPh sb="4" eb="6">
      <t>ネンキン</t>
    </rPh>
    <rPh sb="8" eb="10">
      <t>センタク</t>
    </rPh>
    <phoneticPr fontId="2"/>
  </si>
  <si>
    <t>年金65歳
以上〇
選択</t>
    <rPh sb="0" eb="2">
      <t>ネンキン</t>
    </rPh>
    <rPh sb="4" eb="5">
      <t>サイ</t>
    </rPh>
    <rPh sb="6" eb="8">
      <t>イジョウ</t>
    </rPh>
    <rPh sb="10" eb="12">
      <t>センタク</t>
    </rPh>
    <phoneticPr fontId="2"/>
  </si>
  <si>
    <t>年税額</t>
    <rPh sb="0" eb="3">
      <t>ネンゼイガク</t>
    </rPh>
    <phoneticPr fontId="2"/>
  </si>
  <si>
    <t>〔軽減判定前金額〕</t>
    <rPh sb="1" eb="3">
      <t>ケイゲン</t>
    </rPh>
    <rPh sb="3" eb="5">
      <t>ハンテイ</t>
    </rPh>
    <rPh sb="5" eb="6">
      <t>マエ</t>
    </rPh>
    <rPh sb="6" eb="8">
      <t>キンガク</t>
    </rPh>
    <phoneticPr fontId="2"/>
  </si>
  <si>
    <t>⇕</t>
    <phoneticPr fontId="2"/>
  </si>
  <si>
    <t>≪保険税賦課用所得≫</t>
    <rPh sb="1" eb="3">
      <t>ホケン</t>
    </rPh>
    <rPh sb="3" eb="4">
      <t>ゼイ</t>
    </rPh>
    <rPh sb="4" eb="6">
      <t>フカ</t>
    </rPh>
    <rPh sb="6" eb="7">
      <t>ヨウ</t>
    </rPh>
    <rPh sb="7" eb="9">
      <t>ショトク</t>
    </rPh>
    <phoneticPr fontId="2"/>
  </si>
  <si>
    <t>加入者人数</t>
    <rPh sb="0" eb="2">
      <t>カニュウ</t>
    </rPh>
    <rPh sb="2" eb="3">
      <t>シャ</t>
    </rPh>
    <rPh sb="3" eb="5">
      <t>ニンズウ</t>
    </rPh>
    <phoneticPr fontId="2"/>
  </si>
  <si>
    <t>D</t>
    <phoneticPr fontId="2"/>
  </si>
  <si>
    <t>”-1))=</t>
    <phoneticPr fontId="2"/>
  </si>
  <si>
    <t>内、未就学児数</t>
    <rPh sb="0" eb="1">
      <t>ウチ</t>
    </rPh>
    <rPh sb="2" eb="5">
      <t>ミシュウガク</t>
    </rPh>
    <rPh sb="6" eb="7">
      <t>スウ</t>
    </rPh>
    <phoneticPr fontId="2"/>
  </si>
  <si>
    <t>加入者情報</t>
    <rPh sb="0" eb="3">
      <t>カニュウシャ</t>
    </rPh>
    <rPh sb="3" eb="5">
      <t>ジョウホウ</t>
    </rPh>
    <phoneticPr fontId="2"/>
  </si>
  <si>
    <t>世帯主</t>
    <rPh sb="0" eb="3">
      <t>セタイヌシ</t>
    </rPh>
    <phoneticPr fontId="2"/>
  </si>
  <si>
    <t>年齢</t>
    <rPh sb="0" eb="2">
      <t>ネンレイ</t>
    </rPh>
    <phoneticPr fontId="2"/>
  </si>
  <si>
    <t>医療分</t>
    <rPh sb="0" eb="2">
      <t>イリョウ</t>
    </rPh>
    <rPh sb="2" eb="3">
      <t>ブン</t>
    </rPh>
    <phoneticPr fontId="2"/>
  </si>
  <si>
    <t>支援金分</t>
    <rPh sb="0" eb="2">
      <t>シエン</t>
    </rPh>
    <rPh sb="2" eb="3">
      <t>キン</t>
    </rPh>
    <rPh sb="3" eb="4">
      <t>ブン</t>
    </rPh>
    <phoneticPr fontId="2"/>
  </si>
  <si>
    <t>介護分</t>
    <rPh sb="0" eb="2">
      <t>カイゴ</t>
    </rPh>
    <rPh sb="2" eb="3">
      <t>ブン</t>
    </rPh>
    <phoneticPr fontId="2"/>
  </si>
  <si>
    <t>所得割</t>
    <rPh sb="0" eb="2">
      <t>ショトク</t>
    </rPh>
    <rPh sb="2" eb="3">
      <t>ワリ</t>
    </rPh>
    <phoneticPr fontId="2"/>
  </si>
  <si>
    <t>均等割</t>
    <rPh sb="0" eb="3">
      <t>キントウワ</t>
    </rPh>
    <phoneticPr fontId="2"/>
  </si>
  <si>
    <t>平等割</t>
    <rPh sb="0" eb="2">
      <t>ビョウドウ</t>
    </rPh>
    <rPh sb="2" eb="3">
      <t>ワリ</t>
    </rPh>
    <phoneticPr fontId="2"/>
  </si>
  <si>
    <t>年齢区分</t>
    <rPh sb="0" eb="2">
      <t>ネンレイ</t>
    </rPh>
    <rPh sb="2" eb="4">
      <t>クブン</t>
    </rPh>
    <phoneticPr fontId="2"/>
  </si>
  <si>
    <t>0～6歳</t>
    <rPh sb="3" eb="4">
      <t>サイ</t>
    </rPh>
    <phoneticPr fontId="2"/>
  </si>
  <si>
    <t>40～64歳</t>
    <rPh sb="5" eb="6">
      <t>サイ</t>
    </rPh>
    <phoneticPr fontId="2"/>
  </si>
  <si>
    <t>計（端数処理後）</t>
    <rPh sb="0" eb="1">
      <t>ケイ</t>
    </rPh>
    <rPh sb="2" eb="4">
      <t>ハスウ</t>
    </rPh>
    <rPh sb="4" eb="6">
      <t>ショリ</t>
    </rPh>
    <rPh sb="6" eb="7">
      <t>ゴ</t>
    </rPh>
    <phoneticPr fontId="2"/>
  </si>
  <si>
    <t>75歳以上</t>
    <rPh sb="2" eb="3">
      <t>サイ</t>
    </rPh>
    <rPh sb="3" eb="5">
      <t>イジョウ</t>
    </rPh>
    <phoneticPr fontId="2"/>
  </si>
  <si>
    <t>65～74歳</t>
    <rPh sb="5" eb="6">
      <t>サイ</t>
    </rPh>
    <phoneticPr fontId="2"/>
  </si>
  <si>
    <t>国保へ
の加入</t>
    <rPh sb="0" eb="2">
      <t>コクホ</t>
    </rPh>
    <rPh sb="5" eb="7">
      <t>カニュウ</t>
    </rPh>
    <phoneticPr fontId="2"/>
  </si>
  <si>
    <t>給与
所得金額</t>
    <rPh sb="0" eb="2">
      <t>キュウヨ</t>
    </rPh>
    <rPh sb="3" eb="5">
      <t>ショトク</t>
    </rPh>
    <rPh sb="5" eb="7">
      <t>キンガク</t>
    </rPh>
    <phoneticPr fontId="2"/>
  </si>
  <si>
    <t>年金
所得金額</t>
    <rPh sb="0" eb="2">
      <t>ネンキン</t>
    </rPh>
    <rPh sb="3" eb="5">
      <t>ショトク</t>
    </rPh>
    <rPh sb="5" eb="7">
      <t>キンガク</t>
    </rPh>
    <phoneticPr fontId="2"/>
  </si>
  <si>
    <t>その他
所得金額</t>
    <rPh sb="2" eb="3">
      <t>タ</t>
    </rPh>
    <rPh sb="4" eb="6">
      <t>ショトク</t>
    </rPh>
    <rPh sb="6" eb="8">
      <t>キンガク</t>
    </rPh>
    <phoneticPr fontId="2"/>
  </si>
  <si>
    <t>合計所得金額</t>
    <rPh sb="0" eb="2">
      <t>ゴウケイ</t>
    </rPh>
    <rPh sb="2" eb="4">
      <t>ショトク</t>
    </rPh>
    <rPh sb="4" eb="6">
      <t>キンガク</t>
    </rPh>
    <phoneticPr fontId="2"/>
  </si>
  <si>
    <t>国民健康保険税　試算シート</t>
    <phoneticPr fontId="2"/>
  </si>
  <si>
    <t>年税額</t>
    <rPh sb="0" eb="3">
      <t>ネンゼイガクガク</t>
    </rPh>
    <phoneticPr fontId="2"/>
  </si>
  <si>
    <t>月額平均</t>
    <rPh sb="0" eb="2">
      <t>ゲツガク</t>
    </rPh>
    <rPh sb="2" eb="4">
      <t>ヘイキン</t>
    </rPh>
    <phoneticPr fontId="2"/>
  </si>
  <si>
    <t>※年税額を未到来の納期で分割いたしますので、各月に収めていただく税額と月額平均は異なります。</t>
    <rPh sb="1" eb="4">
      <t>ネンゼイガク</t>
    </rPh>
    <rPh sb="5" eb="8">
      <t>ミトウライ</t>
    </rPh>
    <rPh sb="9" eb="11">
      <t>ノウキ</t>
    </rPh>
    <rPh sb="12" eb="14">
      <t>ブンカツ</t>
    </rPh>
    <rPh sb="22" eb="23">
      <t>カク</t>
    </rPh>
    <rPh sb="23" eb="24">
      <t>ツキ</t>
    </rPh>
    <rPh sb="25" eb="26">
      <t>オサ</t>
    </rPh>
    <rPh sb="32" eb="34">
      <t>ゼイガク</t>
    </rPh>
    <rPh sb="35" eb="37">
      <t>ゲツガク</t>
    </rPh>
    <rPh sb="37" eb="39">
      <t>ヘイキン</t>
    </rPh>
    <rPh sb="40" eb="41">
      <t>コト</t>
    </rPh>
    <phoneticPr fontId="2"/>
  </si>
  <si>
    <t>東郷町国民健康保険税　試算シート</t>
    <rPh sb="0" eb="3">
      <t>トウゴウチョウ</t>
    </rPh>
    <phoneticPr fontId="2"/>
  </si>
  <si>
    <t>東郷町国民健康保険税試算結果</t>
    <rPh sb="0" eb="3">
      <t>トウゴウチョウ</t>
    </rPh>
    <phoneticPr fontId="2"/>
  </si>
  <si>
    <t>・世帯４名までの国民健康保険税の試算ができます。</t>
    <rPh sb="1" eb="3">
      <t>セタイ</t>
    </rPh>
    <rPh sb="4" eb="5">
      <t>メイ</t>
    </rPh>
    <rPh sb="8" eb="10">
      <t>コクミン</t>
    </rPh>
    <rPh sb="10" eb="12">
      <t>ケンコウ</t>
    </rPh>
    <rPh sb="12" eb="14">
      <t>ホケン</t>
    </rPh>
    <rPh sb="14" eb="15">
      <t>ゼイ</t>
    </rPh>
    <rPh sb="16" eb="18">
      <t>シサン</t>
    </rPh>
    <phoneticPr fontId="2"/>
  </si>
  <si>
    <t>・あくまで試算ですので、実際の課税額と異なる場合があります。</t>
    <rPh sb="5" eb="7">
      <t>シサン</t>
    </rPh>
    <rPh sb="12" eb="14">
      <t>ジッサイ</t>
    </rPh>
    <rPh sb="15" eb="17">
      <t>カゼイ</t>
    </rPh>
    <rPh sb="17" eb="18">
      <t>ガク</t>
    </rPh>
    <rPh sb="19" eb="20">
      <t>コト</t>
    </rPh>
    <rPh sb="22" eb="24">
      <t>バアイ</t>
    </rPh>
    <phoneticPr fontId="2"/>
  </si>
  <si>
    <t>・世帯主の方は国民健康保険へ加入の有無にかかわらず入力してください。</t>
    <rPh sb="1" eb="4">
      <t>セタイヌシ</t>
    </rPh>
    <rPh sb="5" eb="6">
      <t>カタ</t>
    </rPh>
    <rPh sb="7" eb="9">
      <t>コクミン</t>
    </rPh>
    <rPh sb="9" eb="11">
      <t>ケンコウ</t>
    </rPh>
    <rPh sb="11" eb="13">
      <t>ホケン</t>
    </rPh>
    <rPh sb="14" eb="16">
      <t>カニュウ</t>
    </rPh>
    <rPh sb="17" eb="19">
      <t>ウム</t>
    </rPh>
    <rPh sb="25" eb="27">
      <t>ニュウリョク</t>
    </rPh>
    <phoneticPr fontId="2"/>
  </si>
  <si>
    <t>・それ以外の方は国民健康保険に加入される方の分のみ入力してください。</t>
    <rPh sb="3" eb="5">
      <t>イガイ</t>
    </rPh>
    <rPh sb="6" eb="7">
      <t>カタ</t>
    </rPh>
    <rPh sb="8" eb="10">
      <t>コクミン</t>
    </rPh>
    <rPh sb="10" eb="12">
      <t>ケンコウ</t>
    </rPh>
    <rPh sb="12" eb="14">
      <t>ホケン</t>
    </rPh>
    <rPh sb="15" eb="17">
      <t>カニュウ</t>
    </rPh>
    <rPh sb="20" eb="21">
      <t>カタ</t>
    </rPh>
    <rPh sb="22" eb="23">
      <t>ブン</t>
    </rPh>
    <rPh sb="25" eb="27">
      <t>ニュウリョク</t>
    </rPh>
    <phoneticPr fontId="2"/>
  </si>
  <si>
    <t>・給与所得と年金所得の両方がある方は所得金額調整控除後の金額を入力してください。</t>
    <phoneticPr fontId="2"/>
  </si>
  <si>
    <t>上段：5割軽減</t>
    <rPh sb="0" eb="2">
      <t>ジョウダン</t>
    </rPh>
    <rPh sb="4" eb="5">
      <t>ワリ</t>
    </rPh>
    <rPh sb="5" eb="7">
      <t>ケイゲン</t>
    </rPh>
    <phoneticPr fontId="2"/>
  </si>
  <si>
    <t>下段：2割軽減</t>
    <rPh sb="0" eb="1">
      <t>シタ</t>
    </rPh>
    <rPh sb="1" eb="2">
      <t>ダン</t>
    </rPh>
    <rPh sb="4" eb="5">
      <t>ワリ</t>
    </rPh>
    <rPh sb="5" eb="7">
      <t>ケイゲン</t>
    </rPh>
    <phoneticPr fontId="2"/>
  </si>
  <si>
    <t>条件設定</t>
    <rPh sb="0" eb="2">
      <t>ジョウケン</t>
    </rPh>
    <rPh sb="2" eb="4">
      <t>セッテイ</t>
    </rPh>
    <phoneticPr fontId="2"/>
  </si>
  <si>
    <t>年度</t>
    <rPh sb="0" eb="1">
      <t>ネン</t>
    </rPh>
    <rPh sb="1" eb="2">
      <t>ド</t>
    </rPh>
    <phoneticPr fontId="2"/>
  </si>
  <si>
    <t>税率</t>
    <rPh sb="0" eb="2">
      <t>ゼイリツ</t>
    </rPh>
    <phoneticPr fontId="2"/>
  </si>
  <si>
    <t>均等割</t>
    <rPh sb="0" eb="3">
      <t>キントウワリ</t>
    </rPh>
    <phoneticPr fontId="2"/>
  </si>
  <si>
    <t>賦課限度額</t>
    <rPh sb="0" eb="2">
      <t>フカ</t>
    </rPh>
    <rPh sb="2" eb="4">
      <t>ゲンド</t>
    </rPh>
    <rPh sb="4" eb="5">
      <t>ガク</t>
    </rPh>
    <phoneticPr fontId="2"/>
  </si>
  <si>
    <t>R13</t>
  </si>
  <si>
    <t>R12</t>
  </si>
  <si>
    <t>R11</t>
  </si>
  <si>
    <t>R10</t>
  </si>
  <si>
    <t>R9</t>
  </si>
  <si>
    <t>R8</t>
  </si>
  <si>
    <t>R7</t>
  </si>
  <si>
    <t>R6</t>
    <phoneticPr fontId="2"/>
  </si>
  <si>
    <t>R5</t>
  </si>
  <si>
    <t>R4</t>
  </si>
  <si>
    <t>R3</t>
  </si>
  <si>
    <t>R2</t>
    <phoneticPr fontId="2"/>
  </si>
  <si>
    <t>H31</t>
  </si>
  <si>
    <t>H30</t>
  </si>
  <si>
    <t>H29</t>
  </si>
  <si>
    <t>H28</t>
  </si>
  <si>
    <t>H27</t>
  </si>
  <si>
    <t>H26</t>
  </si>
  <si>
    <t>H25</t>
  </si>
  <si>
    <t>H24</t>
  </si>
  <si>
    <t>H23</t>
  </si>
  <si>
    <t>H22</t>
  </si>
  <si>
    <t>H21</t>
  </si>
  <si>
    <t>H20</t>
  </si>
  <si>
    <t>H19</t>
  </si>
  <si>
    <t>H18</t>
  </si>
  <si>
    <t>H17</t>
  </si>
  <si>
    <t>H16</t>
  </si>
  <si>
    <t>H15</t>
  </si>
  <si>
    <t>H14</t>
  </si>
  <si>
    <t>H13</t>
  </si>
  <si>
    <t>H12</t>
  </si>
  <si>
    <t>H11</t>
  </si>
  <si>
    <t>H10</t>
  </si>
  <si>
    <t>H9</t>
  </si>
  <si>
    <t>510,000</t>
  </si>
  <si>
    <t>22,800</t>
  </si>
  <si>
    <t>19,800</t>
  </si>
  <si>
    <t>H8</t>
  </si>
  <si>
    <t>490,000</t>
  </si>
  <si>
    <t>20,400</t>
  </si>
  <si>
    <t>17,400</t>
  </si>
  <si>
    <t>H7</t>
  </si>
  <si>
    <t>460,000</t>
  </si>
  <si>
    <t>18,000</t>
  </si>
  <si>
    <t>15,000</t>
  </si>
  <si>
    <t>H6</t>
  </si>
  <si>
    <t>450,000</t>
  </si>
  <si>
    <t>16,000</t>
  </si>
  <si>
    <t>14,400</t>
  </si>
  <si>
    <t>H5</t>
  </si>
  <si>
    <t>420,000</t>
  </si>
  <si>
    <t>13,200</t>
  </si>
  <si>
    <t>H4</t>
  </si>
  <si>
    <t>410,000</t>
  </si>
  <si>
    <t>H3</t>
  </si>
  <si>
    <t>H2</t>
  </si>
  <si>
    <t>H1</t>
  </si>
  <si>
    <t>資産割</t>
    <rPh sb="0" eb="2">
      <t>シサン</t>
    </rPh>
    <rPh sb="2" eb="3">
      <t>ワリ</t>
    </rPh>
    <phoneticPr fontId="2"/>
  </si>
  <si>
    <t>介護保険金課税額</t>
    <rPh sb="0" eb="2">
      <t>カイゴ</t>
    </rPh>
    <rPh sb="2" eb="4">
      <t>ホケン</t>
    </rPh>
    <rPh sb="4" eb="5">
      <t>キン</t>
    </rPh>
    <rPh sb="5" eb="8">
      <t>カゼイガク</t>
    </rPh>
    <phoneticPr fontId="2"/>
  </si>
  <si>
    <t>後期高齢者支援金課税額</t>
    <rPh sb="0" eb="2">
      <t>コウキ</t>
    </rPh>
    <rPh sb="2" eb="4">
      <t>コウレイ</t>
    </rPh>
    <rPh sb="4" eb="5">
      <t>シャ</t>
    </rPh>
    <rPh sb="5" eb="7">
      <t>シエン</t>
    </rPh>
    <rPh sb="7" eb="8">
      <t>キン</t>
    </rPh>
    <rPh sb="8" eb="10">
      <t>カゼイ</t>
    </rPh>
    <rPh sb="10" eb="11">
      <t>ガク</t>
    </rPh>
    <phoneticPr fontId="2"/>
  </si>
  <si>
    <t>基礎課税額（医療保険分）</t>
    <rPh sb="0" eb="2">
      <t>キソ</t>
    </rPh>
    <rPh sb="2" eb="4">
      <t>カゼイ</t>
    </rPh>
    <rPh sb="4" eb="5">
      <t>ガク</t>
    </rPh>
    <rPh sb="6" eb="8">
      <t>イリョウ</t>
    </rPh>
    <rPh sb="8" eb="10">
      <t>ホケン</t>
    </rPh>
    <rPh sb="10" eb="11">
      <t>ブン</t>
    </rPh>
    <phoneticPr fontId="2"/>
  </si>
  <si>
    <t>国民健康保険税　税率等の推移</t>
    <rPh sb="0" eb="2">
      <t>コクミン</t>
    </rPh>
    <rPh sb="2" eb="4">
      <t>ケンコウ</t>
    </rPh>
    <rPh sb="4" eb="6">
      <t>ホケン</t>
    </rPh>
    <rPh sb="6" eb="7">
      <t>ゼイ</t>
    </rPh>
    <rPh sb="8" eb="10">
      <t>ゼイリツ</t>
    </rPh>
    <rPh sb="10" eb="11">
      <t>トウ</t>
    </rPh>
    <rPh sb="12" eb="14">
      <t>スイイ</t>
    </rPh>
    <phoneticPr fontId="2"/>
  </si>
  <si>
    <t>国保・後期</t>
    <rPh sb="0" eb="2">
      <t>コクホ</t>
    </rPh>
    <rPh sb="3" eb="5">
      <t>コウキ</t>
    </rPh>
    <phoneticPr fontId="2"/>
  </si>
  <si>
    <t>介護</t>
    <rPh sb="0" eb="2">
      <t>カイゴ</t>
    </rPh>
    <phoneticPr fontId="2"/>
  </si>
  <si>
    <t>後期</t>
    <rPh sb="0" eb="2">
      <t>コウキ</t>
    </rPh>
    <phoneticPr fontId="2"/>
  </si>
  <si>
    <t>国保</t>
    <rPh sb="0" eb="2">
      <t>コクホ</t>
    </rPh>
    <phoneticPr fontId="2"/>
  </si>
  <si>
    <t>税率・金額（年額）</t>
    <rPh sb="0" eb="2">
      <t>ゼイリツ</t>
    </rPh>
    <rPh sb="3" eb="5">
      <t>キンガク</t>
    </rPh>
    <rPh sb="6" eb="8">
      <t>ネンガク</t>
    </rPh>
    <phoneticPr fontId="2"/>
  </si>
  <si>
    <t>R6</t>
  </si>
  <si>
    <t>生年月日</t>
    <rPh sb="0" eb="2">
      <t>セイネン</t>
    </rPh>
    <rPh sb="2" eb="4">
      <t>ガッピ</t>
    </rPh>
    <phoneticPr fontId="2"/>
  </si>
  <si>
    <t>基礎控除</t>
    <rPh sb="0" eb="2">
      <t>キソ</t>
    </rPh>
    <rPh sb="2" eb="4">
      <t>コウジョ</t>
    </rPh>
    <phoneticPr fontId="2"/>
  </si>
  <si>
    <t>軽減判定
2割</t>
    <rPh sb="6" eb="7">
      <t>ワリ</t>
    </rPh>
    <phoneticPr fontId="2"/>
  </si>
  <si>
    <t>軽減判定
5割</t>
    <rPh sb="6" eb="7">
      <t>ワリ</t>
    </rPh>
    <phoneticPr fontId="2"/>
  </si>
  <si>
    <t>賦課試算用欄</t>
    <rPh sb="0" eb="2">
      <t>フカ</t>
    </rPh>
    <rPh sb="2" eb="4">
      <t>シサン</t>
    </rPh>
    <rPh sb="4" eb="5">
      <t>ヨウ</t>
    </rPh>
    <rPh sb="5" eb="6">
      <t>ラン</t>
    </rPh>
    <phoneticPr fontId="2"/>
  </si>
  <si>
    <t>基礎控除額</t>
    <rPh sb="0" eb="2">
      <t>キソ</t>
    </rPh>
    <rPh sb="2" eb="4">
      <t>コウジョ</t>
    </rPh>
    <rPh sb="4" eb="5">
      <t>ガク</t>
    </rPh>
    <phoneticPr fontId="2"/>
  </si>
  <si>
    <t>表示年度</t>
    <rPh sb="0" eb="2">
      <t>ヒョウジ</t>
    </rPh>
    <rPh sb="2" eb="4">
      <t>ネンド</t>
    </rPh>
    <phoneticPr fontId="2"/>
  </si>
  <si>
    <t>月額換算</t>
    <rPh sb="0" eb="2">
      <t>ゲツガク</t>
    </rPh>
    <rPh sb="2" eb="4">
      <t>カンサン</t>
    </rPh>
    <phoneticPr fontId="2"/>
  </si>
  <si>
    <t>世帯合計</t>
    <rPh sb="0" eb="2">
      <t>セタイ</t>
    </rPh>
    <rPh sb="2" eb="4">
      <t>ゴウケイ</t>
    </rPh>
    <phoneticPr fontId="2"/>
  </si>
  <si>
    <t>所得（手取り）</t>
    <rPh sb="0" eb="2">
      <t>ショトク</t>
    </rPh>
    <rPh sb="3" eb="5">
      <t>テド</t>
    </rPh>
    <phoneticPr fontId="2"/>
  </si>
  <si>
    <t>子ども・子育て支援納付金課税額</t>
    <rPh sb="0" eb="1">
      <t>コ</t>
    </rPh>
    <rPh sb="4" eb="6">
      <t>コソダ</t>
    </rPh>
    <rPh sb="7" eb="9">
      <t>シエン</t>
    </rPh>
    <rPh sb="9" eb="12">
      <t>ノウフキン</t>
    </rPh>
    <rPh sb="12" eb="15">
      <t>カゼイガク</t>
    </rPh>
    <phoneticPr fontId="2"/>
  </si>
  <si>
    <t>18歳以上均等割</t>
    <rPh sb="2" eb="5">
      <t>サイイジョウ</t>
    </rPh>
    <rPh sb="5" eb="8">
      <t>キントウワリ</t>
    </rPh>
    <phoneticPr fontId="2"/>
  </si>
  <si>
    <t>子ども分</t>
    <rPh sb="0" eb="1">
      <t>コ</t>
    </rPh>
    <rPh sb="3" eb="4">
      <t>ブン</t>
    </rPh>
    <phoneticPr fontId="2"/>
  </si>
  <si>
    <t>7～17歳</t>
    <rPh sb="4" eb="5">
      <t>サイ</t>
    </rPh>
    <phoneticPr fontId="2"/>
  </si>
  <si>
    <t>18～39歳</t>
    <rPh sb="5" eb="6">
      <t>サイ</t>
    </rPh>
    <phoneticPr fontId="2"/>
  </si>
  <si>
    <t>【介護保険分】</t>
    <rPh sb="1" eb="3">
      <t>カイゴ</t>
    </rPh>
    <rPh sb="3" eb="5">
      <t>ホケン</t>
    </rPh>
    <rPh sb="5" eb="6">
      <t>フン</t>
    </rPh>
    <phoneticPr fontId="2"/>
  </si>
  <si>
    <t>【子ども・子育て支援金分】</t>
    <rPh sb="1" eb="2">
      <t>コ</t>
    </rPh>
    <rPh sb="5" eb="7">
      <t>コソダ</t>
    </rPh>
    <rPh sb="8" eb="10">
      <t>シエン</t>
    </rPh>
    <rPh sb="10" eb="11">
      <t>キン</t>
    </rPh>
    <rPh sb="11" eb="12">
      <t>フン</t>
    </rPh>
    <phoneticPr fontId="2"/>
  </si>
  <si>
    <t>子ども分</t>
    <rPh sb="0" eb="1">
      <t>コ</t>
    </rPh>
    <rPh sb="3" eb="4">
      <t>フン</t>
    </rPh>
    <phoneticPr fontId="2"/>
  </si>
  <si>
    <t>④18歳以上均等割</t>
    <rPh sb="3" eb="6">
      <t>サイイジョウ</t>
    </rPh>
    <rPh sb="6" eb="8">
      <t>キントウ</t>
    </rPh>
    <rPh sb="8" eb="9">
      <t>ワ</t>
    </rPh>
    <phoneticPr fontId="2"/>
  </si>
  <si>
    <t>子ども分　合計</t>
    <rPh sb="0" eb="1">
      <t>コ</t>
    </rPh>
    <rPh sb="3" eb="4">
      <t>フン</t>
    </rPh>
    <rPh sb="5" eb="7">
      <t>ゴウケイ</t>
    </rPh>
    <phoneticPr fontId="2"/>
  </si>
  <si>
    <t>②均等割額・④18歳以上均等割</t>
    <rPh sb="1" eb="3">
      <t>キントウ</t>
    </rPh>
    <rPh sb="3" eb="4">
      <t>ワ</t>
    </rPh>
    <rPh sb="4" eb="5">
      <t>ガク</t>
    </rPh>
    <rPh sb="9" eb="10">
      <t>サイ</t>
    </rPh>
    <rPh sb="10" eb="12">
      <t>イジョウ</t>
    </rPh>
    <rPh sb="12" eb="15">
      <t>キントウワ</t>
    </rPh>
    <phoneticPr fontId="2"/>
  </si>
  <si>
    <t>内、18歳未満数</t>
    <rPh sb="0" eb="1">
      <t>ウチ</t>
    </rPh>
    <rPh sb="4" eb="5">
      <t>サイ</t>
    </rPh>
    <rPh sb="5" eb="7">
      <t>ミマン</t>
    </rPh>
    <rPh sb="7" eb="8">
      <t>スウ</t>
    </rPh>
    <phoneticPr fontId="2"/>
  </si>
  <si>
    <t>税率等</t>
    <phoneticPr fontId="2"/>
  </si>
  <si>
    <t>⇒合計用</t>
    <rPh sb="1" eb="3">
      <t>ゴウケイ</t>
    </rPh>
    <rPh sb="3" eb="4">
      <t>ヨウ</t>
    </rPh>
    <phoneticPr fontId="2"/>
  </si>
  <si>
    <t>18歳均</t>
    <rPh sb="2" eb="3">
      <t>サイ</t>
    </rPh>
    <rPh sb="3" eb="4">
      <t>キン</t>
    </rPh>
    <phoneticPr fontId="2"/>
  </si>
  <si>
    <t>18以上
均等割</t>
    <rPh sb="2" eb="4">
      <t>イジョウ</t>
    </rPh>
    <rPh sb="5" eb="8">
      <t>キントウワ</t>
    </rPh>
    <phoneticPr fontId="2"/>
  </si>
  <si>
    <t>※国・後・介・子(国・後・介)は40歳～64歳</t>
    <rPh sb="7" eb="8">
      <t>コ</t>
    </rPh>
    <rPh sb="9" eb="10">
      <t>コク</t>
    </rPh>
    <rPh sb="11" eb="12">
      <t>アト</t>
    </rPh>
    <rPh sb="13" eb="14">
      <t>スケ</t>
    </rPh>
    <rPh sb="18" eb="19">
      <t>サイ</t>
    </rPh>
    <rPh sb="22" eb="23">
      <t>サイ</t>
    </rPh>
    <phoneticPr fontId="2"/>
  </si>
  <si>
    <t>※【R8以降】国保・後期は17歳以下、国・後・子は18歳～39歳と65歳～74歳</t>
    <rPh sb="4" eb="6">
      <t>イコウ</t>
    </rPh>
    <rPh sb="7" eb="9">
      <t>コクホ</t>
    </rPh>
    <rPh sb="10" eb="12">
      <t>コウキ</t>
    </rPh>
    <rPh sb="15" eb="18">
      <t>サイイカ</t>
    </rPh>
    <rPh sb="19" eb="20">
      <t>クニ</t>
    </rPh>
    <rPh sb="21" eb="22">
      <t>アト</t>
    </rPh>
    <rPh sb="23" eb="24">
      <t>コ</t>
    </rPh>
    <rPh sb="27" eb="28">
      <t>サイ</t>
    </rPh>
    <rPh sb="31" eb="32">
      <t>サイ</t>
    </rPh>
    <rPh sb="35" eb="36">
      <t>サイ</t>
    </rPh>
    <rPh sb="39" eb="40">
      <t>サイ</t>
    </rPh>
    <phoneticPr fontId="2"/>
  </si>
  <si>
    <t>未就学児</t>
  </si>
  <si>
    <t>18歳未満</t>
    <rPh sb="2" eb="3">
      <t>サイ</t>
    </rPh>
    <rPh sb="3" eb="5">
      <t>ミマン</t>
    </rPh>
    <phoneticPr fontId="2"/>
  </si>
  <si>
    <t>(a)×1－1,755,000円</t>
    <rPh sb="15" eb="16">
      <t>エン</t>
    </rPh>
    <phoneticPr fontId="2"/>
  </si>
  <si>
    <t>(a)×1－1,855,000円</t>
    <rPh sb="15" eb="16">
      <t>エン</t>
    </rPh>
    <phoneticPr fontId="2"/>
  </si>
  <si>
    <t>(a)×1－1,955,000円</t>
    <rPh sb="15" eb="16">
      <t>エン</t>
    </rPh>
    <phoneticPr fontId="2"/>
  </si>
  <si>
    <t>10,000,000円以上</t>
    <rPh sb="10" eb="11">
      <t>エン</t>
    </rPh>
    <rPh sb="11" eb="13">
      <t>イジョウ</t>
    </rPh>
    <phoneticPr fontId="2"/>
  </si>
  <si>
    <t>(a)×0.95－1,255,000円</t>
    <rPh sb="18" eb="19">
      <t>エン</t>
    </rPh>
    <phoneticPr fontId="2"/>
  </si>
  <si>
    <t>(a)×0.95－1,355,000円</t>
    <rPh sb="18" eb="19">
      <t>エン</t>
    </rPh>
    <phoneticPr fontId="2"/>
  </si>
  <si>
    <t>(a)×0.95－1,455,000円</t>
    <rPh sb="18" eb="19">
      <t>エン</t>
    </rPh>
    <phoneticPr fontId="2"/>
  </si>
  <si>
    <t>7,700,000円から9,999,999円まで</t>
    <rPh sb="9" eb="10">
      <t>エン</t>
    </rPh>
    <rPh sb="21" eb="22">
      <t>エン</t>
    </rPh>
    <phoneticPr fontId="2"/>
  </si>
  <si>
    <t>(a)×0.85－485,000円</t>
    <rPh sb="16" eb="17">
      <t>エン</t>
    </rPh>
    <phoneticPr fontId="2"/>
  </si>
  <si>
    <t>(a)×0.85－585,000円</t>
    <rPh sb="16" eb="17">
      <t>エン</t>
    </rPh>
    <phoneticPr fontId="2"/>
  </si>
  <si>
    <t>(a)×0.85－685,000円</t>
    <rPh sb="16" eb="17">
      <t>エン</t>
    </rPh>
    <phoneticPr fontId="2"/>
  </si>
  <si>
    <t>4,100,000円から7,699,999円まで</t>
    <rPh sb="9" eb="10">
      <t>エン</t>
    </rPh>
    <rPh sb="21" eb="22">
      <t>エン</t>
    </rPh>
    <phoneticPr fontId="2"/>
  </si>
  <si>
    <t>(a)×0.75－75,000円</t>
    <rPh sb="15" eb="16">
      <t>エン</t>
    </rPh>
    <phoneticPr fontId="2"/>
  </si>
  <si>
    <t>(a)×0.75－175,000円</t>
    <rPh sb="16" eb="17">
      <t>エン</t>
    </rPh>
    <phoneticPr fontId="2"/>
  </si>
  <si>
    <t>(a)×0.75－275,000円</t>
    <rPh sb="16" eb="17">
      <t>エン</t>
    </rPh>
    <phoneticPr fontId="2"/>
  </si>
  <si>
    <t>3,300,000円から4,099,999円まで</t>
    <rPh sb="9" eb="10">
      <t>エン</t>
    </rPh>
    <rPh sb="21" eb="22">
      <t>エン</t>
    </rPh>
    <phoneticPr fontId="2"/>
  </si>
  <si>
    <t>(a)×1－900,000円</t>
    <rPh sb="13" eb="14">
      <t>エン</t>
    </rPh>
    <phoneticPr fontId="2"/>
  </si>
  <si>
    <t>(a)×1－1,000,000円</t>
    <rPh sb="15" eb="16">
      <t>エン</t>
    </rPh>
    <phoneticPr fontId="2"/>
  </si>
  <si>
    <t>(a)×1－1,100,000円</t>
    <rPh sb="15" eb="16">
      <t>エン</t>
    </rPh>
    <phoneticPr fontId="2"/>
  </si>
  <si>
    <t>1,100,001円から3,299,999円まで</t>
    <rPh sb="9" eb="10">
      <t>エン</t>
    </rPh>
    <rPh sb="21" eb="22">
      <t>エン</t>
    </rPh>
    <phoneticPr fontId="2"/>
  </si>
  <si>
    <t>所得金額は0円です。</t>
  </si>
  <si>
    <t>0～1,100,000</t>
    <phoneticPr fontId="2"/>
  </si>
  <si>
    <t>65歳以上</t>
    <rPh sb="2" eb="3">
      <t>サイ</t>
    </rPh>
    <rPh sb="3" eb="5">
      <t>イジョウ</t>
    </rPh>
    <phoneticPr fontId="2"/>
  </si>
  <si>
    <t>1,300,000円から4,099,999円まで</t>
    <rPh sb="9" eb="10">
      <t>エン</t>
    </rPh>
    <rPh sb="21" eb="22">
      <t>エン</t>
    </rPh>
    <phoneticPr fontId="2"/>
  </si>
  <si>
    <t>(a)×1－400,000円</t>
    <rPh sb="13" eb="14">
      <t>エン</t>
    </rPh>
    <phoneticPr fontId="2"/>
  </si>
  <si>
    <t>(a)×1－500,000円</t>
    <rPh sb="13" eb="14">
      <t>エン</t>
    </rPh>
    <phoneticPr fontId="2"/>
  </si>
  <si>
    <t>(a)×1－600,000円</t>
    <rPh sb="13" eb="14">
      <t>エン</t>
    </rPh>
    <phoneticPr fontId="2"/>
  </si>
  <si>
    <t>600,001円から1,299,999円まで</t>
    <rPh sb="7" eb="8">
      <t>エン</t>
    </rPh>
    <rPh sb="19" eb="20">
      <t>エン</t>
    </rPh>
    <phoneticPr fontId="2"/>
  </si>
  <si>
    <t>所得金額は0円です。</t>
    <rPh sb="0" eb="2">
      <t>ショトク</t>
    </rPh>
    <rPh sb="2" eb="4">
      <t>キンガク</t>
    </rPh>
    <rPh sb="6" eb="7">
      <t>エン</t>
    </rPh>
    <phoneticPr fontId="2"/>
  </si>
  <si>
    <t>0～600,000</t>
    <phoneticPr fontId="2"/>
  </si>
  <si>
    <t>65歳未満</t>
    <rPh sb="2" eb="3">
      <t>サイ</t>
    </rPh>
    <rPh sb="3" eb="5">
      <t>ミマン</t>
    </rPh>
    <phoneticPr fontId="2"/>
  </si>
  <si>
    <t>2,000万円超</t>
    <rPh sb="5" eb="7">
      <t>マンエン</t>
    </rPh>
    <rPh sb="7" eb="8">
      <t>チョウ</t>
    </rPh>
    <phoneticPr fontId="2"/>
  </si>
  <si>
    <t>1,000万円超2,000万円以下</t>
    <rPh sb="5" eb="7">
      <t>マンエン</t>
    </rPh>
    <rPh sb="7" eb="8">
      <t>チョウ</t>
    </rPh>
    <rPh sb="13" eb="15">
      <t>マンエン</t>
    </rPh>
    <rPh sb="15" eb="17">
      <t>イカ</t>
    </rPh>
    <phoneticPr fontId="2"/>
  </si>
  <si>
    <t>1,000万円以下</t>
    <rPh sb="5" eb="7">
      <t>マンエン</t>
    </rPh>
    <rPh sb="7" eb="9">
      <t>イカ</t>
    </rPh>
    <phoneticPr fontId="2"/>
  </si>
  <si>
    <t>公的年金等に係る雑所得以外の所得に係る合計所得金額</t>
    <rPh sb="0" eb="2">
      <t>コウテキ</t>
    </rPh>
    <rPh sb="2" eb="4">
      <t>ネンキン</t>
    </rPh>
    <rPh sb="4" eb="5">
      <t>トウ</t>
    </rPh>
    <rPh sb="6" eb="7">
      <t>カカ</t>
    </rPh>
    <rPh sb="8" eb="11">
      <t>ザツショトク</t>
    </rPh>
    <rPh sb="11" eb="13">
      <t>イガイ</t>
    </rPh>
    <rPh sb="14" eb="16">
      <t>ショトク</t>
    </rPh>
    <rPh sb="17" eb="18">
      <t>カカ</t>
    </rPh>
    <rPh sb="19" eb="21">
      <t>ゴウケイ</t>
    </rPh>
    <rPh sb="21" eb="23">
      <t>ショトク</t>
    </rPh>
    <rPh sb="23" eb="25">
      <t>キンガク</t>
    </rPh>
    <phoneticPr fontId="2"/>
  </si>
  <si>
    <t>公的年金等に係る雑所得の金額の計算方法</t>
  </si>
  <si>
    <t>公的年金等の収入金額の合計額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</si>
</sst>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0;[Red]\-#,##0.0"/>
    <numFmt numFmtId="177" formatCode="0&quot;万&quot;&quot;円&quot;"/>
    <numFmt numFmtId="178" formatCode="0&quot;人&quot;"/>
  </numFmts>
  <fonts count="4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b/>
      <sz val="11"/>
      <name val="ＭＳ Ｐゴシック"/>
      <family val="3"/>
      <charset val="128"/>
      <scheme val="minor"/>
    </font>
    <font>
      <sz val="11"/>
      <color rgb="FFFF000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sz val="8"/>
      <color theme="1"/>
      <name val="ＭＳ Ｐゴシック"/>
      <family val="3"/>
      <charset val="128"/>
      <scheme val="minor"/>
    </font>
    <font>
      <sz val="12"/>
      <color rgb="FFFF0000"/>
      <name val="HGS創英角ｺﾞｼｯｸUB"/>
      <family val="3"/>
      <charset val="128"/>
    </font>
    <font>
      <sz val="12"/>
      <color theme="1"/>
      <name val="HGS創英角ｺﾞｼｯｸUB"/>
      <family val="3"/>
      <charset val="128"/>
    </font>
    <font>
      <sz val="18"/>
      <color theme="1"/>
      <name val="ＭＳ 明朝"/>
      <family val="1"/>
      <charset val="128"/>
    </font>
    <font>
      <sz val="9"/>
      <color theme="1"/>
      <name val="ＭＳ Ｐゴシック"/>
      <family val="2"/>
      <charset val="128"/>
      <scheme val="minor"/>
    </font>
    <font>
      <sz val="9"/>
      <color theme="1"/>
      <name val="ＭＳ Ｐゴシック"/>
      <family val="3"/>
      <charset val="128"/>
      <scheme val="minor"/>
    </font>
    <font>
      <b/>
      <sz val="9"/>
      <color theme="1"/>
      <name val="ＭＳ Ｐゴシック"/>
      <family val="3"/>
      <charset val="128"/>
      <scheme val="minor"/>
    </font>
    <font>
      <b/>
      <sz val="10"/>
      <color rgb="FFFF0000"/>
      <name val="ＭＳ Ｐゴシック"/>
      <family val="3"/>
      <charset val="128"/>
      <scheme val="minor"/>
    </font>
    <font>
      <sz val="14"/>
      <color theme="1"/>
      <name val="ＭＳ Ｐゴシック"/>
      <family val="3"/>
      <charset val="128"/>
      <scheme val="minor"/>
    </font>
    <font>
      <sz val="14"/>
      <color theme="1"/>
      <name val="BIZ UDPゴシック"/>
      <family val="3"/>
      <charset val="128"/>
    </font>
    <font>
      <sz val="14"/>
      <color theme="1"/>
      <name val="BIZ UDゴシック"/>
      <family val="3"/>
      <charset val="128"/>
    </font>
    <font>
      <b/>
      <sz val="14"/>
      <color theme="1"/>
      <name val="BIZ UDPゴシック"/>
      <family val="3"/>
      <charset val="128"/>
    </font>
    <font>
      <sz val="18"/>
      <color theme="1"/>
      <name val="ＭＳ Ｐゴシック"/>
      <family val="2"/>
      <charset val="128"/>
      <scheme val="minor"/>
    </font>
    <font>
      <b/>
      <sz val="14"/>
      <color theme="1"/>
      <name val="ＭＳ Ｐゴシック"/>
      <family val="3"/>
      <charset val="128"/>
      <scheme val="major"/>
    </font>
    <font>
      <sz val="10"/>
      <color theme="1"/>
      <name val="ＭＳ Ｐゴシック"/>
      <family val="3"/>
      <charset val="128"/>
      <scheme val="minor"/>
    </font>
    <font>
      <sz val="10"/>
      <color theme="1"/>
      <name val="ＭＳ Ｐゴシック"/>
      <family val="2"/>
      <charset val="128"/>
      <scheme val="minor"/>
    </font>
    <font>
      <sz val="11"/>
      <name val="ＭＳ Ｐゴシック"/>
      <family val="3"/>
      <charset val="128"/>
    </font>
    <font>
      <sz val="10"/>
      <name val="ＭＳ Ｐゴシック"/>
      <family val="3"/>
      <charset val="128"/>
    </font>
    <font>
      <sz val="8"/>
      <color theme="1"/>
      <name val="ＭＳ Ｐゴシック"/>
      <family val="2"/>
      <charset val="128"/>
      <scheme val="minor"/>
    </font>
    <font>
      <b/>
      <sz val="12"/>
      <color theme="1"/>
      <name val="ＭＳ Ｐゴシック"/>
      <family val="3"/>
      <charset val="128"/>
      <scheme val="minor"/>
    </font>
    <font>
      <b/>
      <sz val="12"/>
      <color theme="1"/>
      <name val="ＭＳ Ｐゴシック"/>
      <family val="2"/>
      <charset val="128"/>
      <scheme val="minor"/>
    </font>
    <font>
      <sz val="18"/>
      <color theme="1"/>
      <name val="ＭＳ Ｐゴシック"/>
      <family val="3"/>
      <charset val="128"/>
      <scheme val="minor"/>
    </font>
    <font>
      <sz val="7"/>
      <color theme="1"/>
      <name val="ＭＳ Ｐゴシック"/>
      <family val="2"/>
      <charset val="128"/>
      <scheme val="minor"/>
    </font>
    <font>
      <sz val="11"/>
      <color theme="1"/>
      <name val="HGS創英角ｺﾞｼｯｸUB"/>
      <family val="3"/>
      <charset val="128"/>
    </font>
    <font>
      <sz val="11"/>
      <color theme="1"/>
      <name val="HGP創英角ｺﾞｼｯｸUB"/>
      <family val="3"/>
      <charset val="128"/>
    </font>
    <font>
      <sz val="11"/>
      <color theme="1"/>
      <name val="ＭＳ 明朝"/>
      <family val="1"/>
      <charset val="128"/>
    </font>
    <font>
      <sz val="26"/>
      <color theme="1"/>
      <name val="HGP創英角ｺﾞｼｯｸUB"/>
      <family val="3"/>
      <charset val="128"/>
    </font>
    <font>
      <b/>
      <sz val="9"/>
      <color indexed="81"/>
      <name val="MS P ゴシック"/>
      <family val="3"/>
      <charset val="128"/>
    </font>
  </fonts>
  <fills count="18">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0"/>
        <bgColor theme="0"/>
      </patternFill>
    </fill>
    <fill>
      <patternFill patternType="solid">
        <fgColor theme="8"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DEBF7"/>
        <bgColor indexed="64"/>
      </patternFill>
    </fill>
    <fill>
      <patternFill patternType="solid">
        <fgColor rgb="FFE2EFDA"/>
        <bgColor indexed="64"/>
      </patternFill>
    </fill>
    <fill>
      <patternFill patternType="solid">
        <fgColor theme="0"/>
        <bgColor indexed="64"/>
      </patternFill>
    </fill>
    <fill>
      <patternFill patternType="solid">
        <fgColor theme="2" tint="-9.9978637043366805E-2"/>
        <bgColor indexed="64"/>
      </patternFill>
    </fill>
  </fills>
  <borders count="17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auto="1"/>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auto="1"/>
      </right>
      <top/>
      <bottom/>
      <diagonal/>
    </border>
    <border>
      <left/>
      <right style="thin">
        <color auto="1"/>
      </right>
      <top/>
      <bottom style="hair">
        <color auto="1"/>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auto="1"/>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top/>
      <bottom style="hair">
        <color auto="1"/>
      </bottom>
      <diagonal/>
    </border>
    <border>
      <left/>
      <right style="medium">
        <color indexed="64"/>
      </right>
      <top/>
      <bottom style="hair">
        <color auto="1"/>
      </bottom>
      <diagonal/>
    </border>
    <border>
      <left style="double">
        <color indexed="64"/>
      </left>
      <right/>
      <top style="thin">
        <color indexed="64"/>
      </top>
      <bottom/>
      <diagonal/>
    </border>
    <border>
      <left/>
      <right style="double">
        <color indexed="64"/>
      </right>
      <top style="thin">
        <color indexed="64"/>
      </top>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thin">
        <color indexed="64"/>
      </top>
      <bottom style="hair">
        <color auto="1"/>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rgb="FFFF0000"/>
      </left>
      <right style="medium">
        <color rgb="FFFF0000"/>
      </right>
      <top style="medium">
        <color rgb="FFFF0000"/>
      </top>
      <bottom style="medium">
        <color rgb="FFFF0000"/>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diagonalUp="1">
      <left style="hair">
        <color auto="1"/>
      </left>
      <right style="hair">
        <color auto="1"/>
      </right>
      <top style="hair">
        <color auto="1"/>
      </top>
      <bottom style="hair">
        <color auto="1"/>
      </bottom>
      <diagonal style="hair">
        <color auto="1"/>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hair">
        <color auto="1"/>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diagonalUp="1">
      <left style="hair">
        <color auto="1"/>
      </left>
      <right style="hair">
        <color auto="1"/>
      </right>
      <top style="hair">
        <color auto="1"/>
      </top>
      <bottom/>
      <diagonal style="hair">
        <color auto="1"/>
      </diagonal>
    </border>
    <border>
      <left style="thin">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thin">
        <color auto="1"/>
      </left>
      <right/>
      <top style="hair">
        <color auto="1"/>
      </top>
      <bottom/>
      <diagonal/>
    </border>
    <border diagonalUp="1">
      <left style="hair">
        <color auto="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 diagonalUp="1">
      <left style="hair">
        <color auto="1"/>
      </left>
      <right style="thin">
        <color auto="1"/>
      </right>
      <top style="hair">
        <color auto="1"/>
      </top>
      <bottom style="hair">
        <color auto="1"/>
      </bottom>
      <diagonal style="hair">
        <color auto="1"/>
      </diagonal>
    </border>
    <border diagonalUp="1">
      <left style="thin">
        <color indexed="64"/>
      </left>
      <right style="hair">
        <color auto="1"/>
      </right>
      <top style="hair">
        <color auto="1"/>
      </top>
      <bottom style="hair">
        <color auto="1"/>
      </bottom>
      <diagonal style="hair">
        <color auto="1"/>
      </diagonal>
    </border>
    <border diagonalUp="1">
      <left style="hair">
        <color auto="1"/>
      </left>
      <right style="thin">
        <color auto="1"/>
      </right>
      <top/>
      <bottom style="hair">
        <color auto="1"/>
      </bottom>
      <diagonal style="hair">
        <color auto="1"/>
      </diagonal>
    </border>
    <border diagonalUp="1">
      <left style="hair">
        <color auto="1"/>
      </left>
      <right style="hair">
        <color auto="1"/>
      </right>
      <top/>
      <bottom style="hair">
        <color auto="1"/>
      </bottom>
      <diagonal style="hair">
        <color auto="1"/>
      </diagonal>
    </border>
    <border diagonalUp="1">
      <left style="thin">
        <color indexed="64"/>
      </left>
      <right style="hair">
        <color auto="1"/>
      </right>
      <top/>
      <bottom style="hair">
        <color auto="1"/>
      </bottom>
      <diagonal style="hair">
        <color auto="1"/>
      </diagonal>
    </border>
    <border diagonalUp="1">
      <left style="hair">
        <color auto="1"/>
      </left>
      <right/>
      <top/>
      <bottom style="hair">
        <color auto="1"/>
      </bottom>
      <diagonal style="hair">
        <color auto="1"/>
      </diagonal>
    </border>
    <border diagonalUp="1">
      <left/>
      <right style="hair">
        <color auto="1"/>
      </right>
      <top/>
      <bottom style="hair">
        <color auto="1"/>
      </bottom>
      <diagonal style="hair">
        <color auto="1"/>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auto="1"/>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auto="1"/>
      </right>
      <top/>
      <bottom/>
      <diagonal style="thin">
        <color indexed="64"/>
      </diagonal>
    </border>
    <border diagonalUp="1">
      <left style="thin">
        <color indexed="64"/>
      </left>
      <right/>
      <top/>
      <bottom style="hair">
        <color auto="1"/>
      </bottom>
      <diagonal style="thin">
        <color indexed="64"/>
      </diagonal>
    </border>
    <border diagonalUp="1">
      <left/>
      <right/>
      <top/>
      <bottom style="hair">
        <color auto="1"/>
      </bottom>
      <diagonal style="thin">
        <color indexed="64"/>
      </diagonal>
    </border>
    <border diagonalUp="1">
      <left/>
      <right style="thin">
        <color auto="1"/>
      </right>
      <top/>
      <bottom style="hair">
        <color auto="1"/>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0" fillId="0" borderId="0">
      <alignment vertical="center"/>
    </xf>
  </cellStyleXfs>
  <cellXfs count="616">
    <xf numFmtId="0" fontId="0" fillId="0" borderId="0" xfId="0">
      <alignment vertical="center"/>
    </xf>
    <xf numFmtId="38" fontId="22" fillId="13" borderId="2" xfId="1" applyFont="1" applyFill="1" applyBorder="1" applyProtection="1">
      <alignment vertical="center"/>
    </xf>
    <xf numFmtId="0" fontId="25" fillId="0" borderId="0" xfId="0" applyFont="1">
      <alignment vertical="center"/>
    </xf>
    <xf numFmtId="0" fontId="24" fillId="11" borderId="3" xfId="0" applyFont="1" applyFill="1" applyBorder="1" applyAlignment="1">
      <alignment horizontal="center" vertical="center"/>
    </xf>
    <xf numFmtId="0" fontId="22" fillId="0" borderId="0" xfId="0" applyFont="1">
      <alignment vertical="center"/>
    </xf>
    <xf numFmtId="0" fontId="26" fillId="0" borderId="0" xfId="0" applyFont="1">
      <alignment vertical="center"/>
    </xf>
    <xf numFmtId="0" fontId="23" fillId="11" borderId="1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23" fillId="12" borderId="1" xfId="0" applyFont="1" applyFill="1" applyBorder="1" applyAlignment="1">
      <alignment horizontal="center" vertical="center"/>
    </xf>
    <xf numFmtId="38" fontId="22" fillId="13" borderId="1" xfId="0" applyNumberFormat="1" applyFont="1" applyFill="1" applyBorder="1">
      <alignment vertical="center"/>
    </xf>
    <xf numFmtId="38" fontId="22" fillId="13" borderId="11" xfId="0" applyNumberFormat="1" applyFont="1" applyFill="1" applyBorder="1">
      <alignment vertical="center"/>
    </xf>
    <xf numFmtId="38" fontId="22" fillId="13" borderId="63" xfId="0" applyNumberFormat="1" applyFont="1" applyFill="1" applyBorder="1">
      <alignment vertical="center"/>
    </xf>
    <xf numFmtId="38" fontId="22" fillId="13" borderId="77" xfId="0" applyNumberFormat="1" applyFont="1" applyFill="1" applyBorder="1">
      <alignment vertical="center"/>
    </xf>
    <xf numFmtId="0" fontId="27" fillId="0" borderId="0" xfId="0" applyFont="1">
      <alignment vertical="center"/>
    </xf>
    <xf numFmtId="0" fontId="5" fillId="0" borderId="0" xfId="0" applyFont="1">
      <alignment vertical="center"/>
    </xf>
    <xf numFmtId="0" fontId="0" fillId="12" borderId="1" xfId="0" applyFill="1" applyBorder="1">
      <alignment vertical="center"/>
    </xf>
    <xf numFmtId="0" fontId="23" fillId="12" borderId="1" xfId="0" applyFont="1" applyFill="1" applyBorder="1">
      <alignment vertical="center"/>
    </xf>
    <xf numFmtId="0" fontId="23" fillId="12" borderId="66" xfId="0" applyFont="1" applyFill="1" applyBorder="1" applyAlignment="1">
      <alignment horizontal="center" vertical="center"/>
    </xf>
    <xf numFmtId="0" fontId="23" fillId="12" borderId="70" xfId="0" applyFont="1" applyFill="1" applyBorder="1" applyAlignment="1">
      <alignment horizontal="center" vertical="center"/>
    </xf>
    <xf numFmtId="0" fontId="22" fillId="0" borderId="66" xfId="0" applyFont="1" applyBorder="1" applyAlignment="1" applyProtection="1">
      <alignment horizontal="center" vertical="center"/>
      <protection locked="0"/>
    </xf>
    <xf numFmtId="0" fontId="22" fillId="0" borderId="62" xfId="0" applyFont="1" applyBorder="1" applyAlignment="1" applyProtection="1">
      <alignment horizontal="center" vertical="center"/>
      <protection locked="0"/>
    </xf>
    <xf numFmtId="38" fontId="22" fillId="0" borderId="62" xfId="1" applyFont="1" applyBorder="1" applyProtection="1">
      <alignment vertical="center"/>
      <protection locked="0"/>
    </xf>
    <xf numFmtId="38" fontId="22" fillId="0" borderId="63" xfId="1" applyFont="1" applyBorder="1" applyProtection="1">
      <alignment vertical="center"/>
      <protection locked="0"/>
    </xf>
    <xf numFmtId="0" fontId="22" fillId="0" borderId="15"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38" fontId="22" fillId="0" borderId="1" xfId="1" applyFont="1" applyBorder="1" applyProtection="1">
      <alignment vertical="center"/>
      <protection locked="0"/>
    </xf>
    <xf numFmtId="38" fontId="22" fillId="0" borderId="64" xfId="1" applyFont="1" applyBorder="1" applyProtection="1">
      <alignment vertical="center"/>
      <protection locked="0"/>
    </xf>
    <xf numFmtId="0" fontId="22" fillId="0" borderId="70" xfId="0" applyFont="1" applyBorder="1" applyAlignment="1" applyProtection="1">
      <alignment horizontal="center" vertical="center"/>
      <protection locked="0"/>
    </xf>
    <xf numFmtId="0" fontId="22" fillId="0" borderId="71" xfId="0" applyFont="1" applyBorder="1" applyAlignment="1" applyProtection="1">
      <alignment horizontal="center" vertical="center"/>
      <protection locked="0"/>
    </xf>
    <xf numFmtId="38" fontId="22" fillId="0" borderId="71" xfId="1" applyFont="1" applyBorder="1" applyProtection="1">
      <alignment vertical="center"/>
      <protection locked="0"/>
    </xf>
    <xf numFmtId="38" fontId="22" fillId="0" borderId="77" xfId="1" applyFont="1" applyBorder="1" applyProtection="1">
      <alignment vertical="center"/>
      <protection locked="0"/>
    </xf>
    <xf numFmtId="0" fontId="22" fillId="11" borderId="1" xfId="0" applyFont="1" applyFill="1" applyBorder="1">
      <alignment vertical="center"/>
    </xf>
    <xf numFmtId="0" fontId="28" fillId="0" borderId="0" xfId="0" applyFont="1">
      <alignment vertical="center"/>
    </xf>
    <xf numFmtId="0" fontId="28" fillId="0" borderId="0" xfId="0" applyFont="1" applyAlignment="1">
      <alignment horizontal="right" vertical="center"/>
    </xf>
    <xf numFmtId="0" fontId="19" fillId="0" borderId="0" xfId="0" applyFont="1" applyAlignment="1">
      <alignment horizontal="center" vertical="center"/>
    </xf>
    <xf numFmtId="0" fontId="29" fillId="0" borderId="0" xfId="0" applyFont="1" applyAlignment="1">
      <alignment horizontal="center" vertical="center"/>
    </xf>
    <xf numFmtId="38" fontId="28" fillId="0" borderId="99" xfId="1" applyFont="1" applyBorder="1">
      <alignment vertical="center"/>
    </xf>
    <xf numFmtId="38" fontId="28" fillId="0" borderId="100" xfId="1" applyFont="1" applyBorder="1">
      <alignment vertical="center"/>
    </xf>
    <xf numFmtId="0" fontId="28" fillId="0" borderId="101" xfId="0" applyFont="1" applyBorder="1">
      <alignment vertical="center"/>
    </xf>
    <xf numFmtId="10" fontId="28" fillId="0" borderId="102" xfId="0" applyNumberFormat="1" applyFont="1" applyBorder="1">
      <alignment vertical="center"/>
    </xf>
    <xf numFmtId="38" fontId="28" fillId="0" borderId="103" xfId="1" applyFont="1" applyBorder="1">
      <alignment vertical="center"/>
    </xf>
    <xf numFmtId="10" fontId="28" fillId="0" borderId="104" xfId="0" applyNumberFormat="1" applyFont="1" applyBorder="1">
      <alignment vertical="center"/>
    </xf>
    <xf numFmtId="10" fontId="28" fillId="0" borderId="102" xfId="0" applyNumberFormat="1" applyFont="1" applyBorder="1" applyAlignment="1">
      <alignment horizontal="right" vertical="center"/>
    </xf>
    <xf numFmtId="0" fontId="19" fillId="2" borderId="105" xfId="0" applyFont="1" applyFill="1" applyBorder="1" applyAlignment="1">
      <alignment horizontal="center" vertical="center"/>
    </xf>
    <xf numFmtId="38" fontId="28" fillId="0" borderId="106" xfId="1" applyFont="1" applyBorder="1">
      <alignment vertical="center"/>
    </xf>
    <xf numFmtId="38" fontId="28" fillId="0" borderId="107" xfId="1" applyFont="1" applyBorder="1">
      <alignment vertical="center"/>
    </xf>
    <xf numFmtId="0" fontId="28" fillId="0" borderId="108" xfId="0" applyFont="1" applyBorder="1">
      <alignment vertical="center"/>
    </xf>
    <xf numFmtId="10" fontId="28" fillId="0" borderId="109" xfId="0" applyNumberFormat="1" applyFont="1" applyBorder="1">
      <alignment vertical="center"/>
    </xf>
    <xf numFmtId="38" fontId="28" fillId="0" borderId="110" xfId="1" applyFont="1" applyBorder="1">
      <alignment vertical="center"/>
    </xf>
    <xf numFmtId="10" fontId="28" fillId="0" borderId="111" xfId="0" applyNumberFormat="1" applyFont="1" applyBorder="1">
      <alignment vertical="center"/>
    </xf>
    <xf numFmtId="10" fontId="28" fillId="0" borderId="109" xfId="0" applyNumberFormat="1" applyFont="1" applyBorder="1" applyAlignment="1">
      <alignment horizontal="right" vertical="center"/>
    </xf>
    <xf numFmtId="0" fontId="19" fillId="2" borderId="112" xfId="0" applyFont="1" applyFill="1" applyBorder="1" applyAlignment="1">
      <alignment horizontal="center" vertical="center"/>
    </xf>
    <xf numFmtId="10" fontId="28" fillId="0" borderId="100" xfId="0" applyNumberFormat="1" applyFont="1" applyBorder="1">
      <alignment vertical="center"/>
    </xf>
    <xf numFmtId="9" fontId="28" fillId="0" borderId="100" xfId="0" applyNumberFormat="1" applyFont="1" applyBorder="1">
      <alignment vertical="center"/>
    </xf>
    <xf numFmtId="38" fontId="28" fillId="0" borderId="103" xfId="1" applyFont="1" applyFill="1" applyBorder="1">
      <alignment vertical="center"/>
    </xf>
    <xf numFmtId="0" fontId="28" fillId="0" borderId="99" xfId="0" applyFont="1" applyBorder="1" applyAlignment="1">
      <alignment horizontal="right" vertical="center"/>
    </xf>
    <xf numFmtId="0" fontId="28" fillId="0" borderId="100" xfId="0" applyFont="1" applyBorder="1" applyAlignment="1">
      <alignment horizontal="right" vertical="center"/>
    </xf>
    <xf numFmtId="9" fontId="31" fillId="0" borderId="100" xfId="2" applyNumberFormat="1" applyFont="1" applyBorder="1" applyAlignment="1">
      <alignment horizontal="right" vertical="center"/>
    </xf>
    <xf numFmtId="10" fontId="31" fillId="0" borderId="102" xfId="2" applyNumberFormat="1" applyFont="1" applyBorder="1" applyAlignment="1">
      <alignment horizontal="right" vertical="center"/>
    </xf>
    <xf numFmtId="0" fontId="28" fillId="0" borderId="122" xfId="0" applyFont="1" applyBorder="1" applyAlignment="1">
      <alignment horizontal="right" vertical="center"/>
    </xf>
    <xf numFmtId="0" fontId="28" fillId="0" borderId="123" xfId="0" applyFont="1" applyBorder="1" applyAlignment="1">
      <alignment horizontal="right" vertical="center"/>
    </xf>
    <xf numFmtId="3" fontId="28" fillId="0" borderId="123" xfId="0" applyNumberFormat="1" applyFont="1" applyBorder="1" applyAlignment="1">
      <alignment horizontal="right" vertical="center"/>
    </xf>
    <xf numFmtId="9" fontId="31" fillId="0" borderId="123" xfId="2" applyNumberFormat="1" applyFont="1" applyBorder="1" applyAlignment="1">
      <alignment horizontal="right" vertical="center"/>
    </xf>
    <xf numFmtId="10" fontId="31" fillId="0" borderId="124" xfId="2" applyNumberFormat="1" applyFont="1" applyBorder="1" applyAlignment="1">
      <alignment horizontal="right" vertical="center"/>
    </xf>
    <xf numFmtId="0" fontId="19" fillId="2" borderId="13" xfId="0" applyFont="1" applyFill="1" applyBorder="1" applyAlignment="1">
      <alignment horizontal="center" vertical="center"/>
    </xf>
    <xf numFmtId="0" fontId="32" fillId="0" borderId="0" xfId="0" applyFont="1" applyAlignment="1">
      <alignment horizontal="center" vertical="center"/>
    </xf>
    <xf numFmtId="0" fontId="14" fillId="4" borderId="125" xfId="0" applyFont="1" applyFill="1" applyBorder="1" applyAlignment="1">
      <alignment horizontal="center" vertical="center"/>
    </xf>
    <xf numFmtId="0" fontId="14" fillId="4" borderId="126" xfId="0" applyFont="1" applyFill="1" applyBorder="1" applyAlignment="1">
      <alignment horizontal="center" vertical="center"/>
    </xf>
    <xf numFmtId="0" fontId="32" fillId="4" borderId="127" xfId="0" applyFont="1" applyFill="1" applyBorder="1" applyAlignment="1">
      <alignment horizontal="center" vertical="center"/>
    </xf>
    <xf numFmtId="0" fontId="14" fillId="4" borderId="128" xfId="0" applyFont="1" applyFill="1" applyBorder="1" applyAlignment="1">
      <alignment horizontal="center" vertical="center"/>
    </xf>
    <xf numFmtId="0" fontId="14" fillId="4" borderId="129" xfId="0" applyFont="1" applyFill="1" applyBorder="1"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vertical="center"/>
    </xf>
    <xf numFmtId="5" fontId="0" fillId="0" borderId="136" xfId="0" applyNumberFormat="1" applyBorder="1" applyAlignment="1">
      <alignment horizontal="right" vertical="center" shrinkToFit="1"/>
    </xf>
    <xf numFmtId="5" fontId="0" fillId="0" borderId="137" xfId="0" applyNumberFormat="1" applyBorder="1" applyAlignment="1">
      <alignment horizontal="right" vertical="center" shrinkToFit="1"/>
    </xf>
    <xf numFmtId="0" fontId="0" fillId="0" borderId="137" xfId="0" applyBorder="1" applyAlignment="1">
      <alignment horizontal="center" vertical="center" shrinkToFit="1"/>
    </xf>
    <xf numFmtId="5" fontId="0" fillId="0" borderId="64" xfId="0" applyNumberFormat="1" applyBorder="1" applyAlignment="1">
      <alignment horizontal="right" vertical="center" shrinkToFit="1"/>
    </xf>
    <xf numFmtId="5" fontId="0" fillId="0" borderId="1" xfId="0" applyNumberFormat="1" applyBorder="1" applyAlignment="1">
      <alignment horizontal="right" vertical="center" shrinkToFit="1"/>
    </xf>
    <xf numFmtId="0" fontId="0" fillId="0" borderId="1" xfId="0" applyBorder="1" applyAlignment="1">
      <alignment horizontal="center" vertical="center" shrinkToFit="1"/>
    </xf>
    <xf numFmtId="10" fontId="0" fillId="0" borderId="64" xfId="0" applyNumberFormat="1" applyBorder="1" applyAlignment="1">
      <alignment horizontal="right" vertical="center" shrinkToFit="1"/>
    </xf>
    <xf numFmtId="10" fontId="0" fillId="0" borderId="1" xfId="0" applyNumberFormat="1" applyBorder="1" applyAlignment="1">
      <alignment horizontal="right" vertical="center" shrinkToFit="1"/>
    </xf>
    <xf numFmtId="0" fontId="0" fillId="0" borderId="64" xfId="0" applyBorder="1" applyAlignment="1">
      <alignment horizontal="center" vertical="center" shrinkToFit="1"/>
    </xf>
    <xf numFmtId="0" fontId="0" fillId="0" borderId="63" xfId="0" applyBorder="1" applyAlignment="1">
      <alignment horizontal="centerContinuous" vertical="center" shrinkToFit="1"/>
    </xf>
    <xf numFmtId="0" fontId="0" fillId="0" borderId="62" xfId="0" applyBorder="1" applyAlignment="1">
      <alignment horizontal="centerContinuous" vertical="center" shrinkToFit="1"/>
    </xf>
    <xf numFmtId="0" fontId="0" fillId="0" borderId="52" xfId="0" applyBorder="1" applyAlignment="1">
      <alignment horizontal="centerContinuous" vertical="center"/>
    </xf>
    <xf numFmtId="38" fontId="29" fillId="0" borderId="102" xfId="0" applyNumberFormat="1" applyFont="1" applyBorder="1" applyAlignment="1">
      <alignment horizontal="center" vertical="center"/>
    </xf>
    <xf numFmtId="38" fontId="28" fillId="0" borderId="102" xfId="0" applyNumberFormat="1" applyFont="1" applyBorder="1">
      <alignment vertical="center"/>
    </xf>
    <xf numFmtId="38" fontId="28" fillId="0" borderId="109" xfId="0" applyNumberFormat="1" applyFont="1" applyBorder="1">
      <alignment vertical="center"/>
    </xf>
    <xf numFmtId="0" fontId="35" fillId="0" borderId="98" xfId="0" applyFont="1" applyBorder="1" applyAlignment="1" applyProtection="1">
      <alignment horizontal="center" vertical="center"/>
      <protection locked="0"/>
    </xf>
    <xf numFmtId="0" fontId="26" fillId="4" borderId="0" xfId="0" applyFont="1" applyFill="1">
      <alignment vertical="center"/>
    </xf>
    <xf numFmtId="0" fontId="0" fillId="4" borderId="0" xfId="0" applyFill="1">
      <alignment vertical="center"/>
    </xf>
    <xf numFmtId="0" fontId="35" fillId="4" borderId="0" xfId="0" applyFont="1" applyFill="1" applyAlignment="1">
      <alignment horizontal="center" vertical="center"/>
    </xf>
    <xf numFmtId="0" fontId="0" fillId="14" borderId="0" xfId="0" applyFill="1">
      <alignment vertical="center"/>
    </xf>
    <xf numFmtId="0" fontId="0" fillId="14" borderId="100" xfId="0" applyFill="1" applyBorder="1" applyAlignment="1">
      <alignment horizontal="center" vertical="center"/>
    </xf>
    <xf numFmtId="0" fontId="0" fillId="14" borderId="100" xfId="0" applyFill="1" applyBorder="1">
      <alignment vertical="center"/>
    </xf>
    <xf numFmtId="38" fontId="0" fillId="14" borderId="100" xfId="1" applyFont="1" applyFill="1" applyBorder="1" applyProtection="1">
      <alignment vertical="center"/>
    </xf>
    <xf numFmtId="0" fontId="0" fillId="14" borderId="0" xfId="0" applyFill="1" applyAlignment="1">
      <alignment horizontal="center" vertical="center"/>
    </xf>
    <xf numFmtId="38" fontId="29" fillId="0" borderId="103" xfId="0" applyNumberFormat="1" applyFont="1" applyBorder="1" applyAlignment="1">
      <alignment horizontal="center" vertical="center"/>
    </xf>
    <xf numFmtId="38" fontId="28" fillId="0" borderId="103" xfId="0" applyNumberFormat="1" applyFont="1" applyBorder="1">
      <alignment vertical="center"/>
    </xf>
    <xf numFmtId="38" fontId="28" fillId="0" borderId="110" xfId="0" applyNumberFormat="1" applyFont="1" applyBorder="1">
      <alignment vertical="center"/>
    </xf>
    <xf numFmtId="0" fontId="32" fillId="5" borderId="102" xfId="0" applyFont="1" applyFill="1" applyBorder="1" applyAlignment="1">
      <alignment horizontal="center" vertical="center" wrapText="1"/>
    </xf>
    <xf numFmtId="0" fontId="32" fillId="5" borderId="103" xfId="0" applyFont="1" applyFill="1" applyBorder="1" applyAlignment="1">
      <alignment horizontal="center" vertical="center" wrapText="1"/>
    </xf>
    <xf numFmtId="0" fontId="36" fillId="5" borderId="99" xfId="0" applyFont="1" applyFill="1" applyBorder="1" applyAlignment="1">
      <alignment horizontal="center" vertical="center"/>
    </xf>
    <xf numFmtId="38" fontId="29" fillId="0" borderId="99" xfId="1" applyFont="1" applyBorder="1" applyAlignment="1">
      <alignment horizontal="center" vertical="center"/>
    </xf>
    <xf numFmtId="38" fontId="0" fillId="0" borderId="53" xfId="1" applyFont="1" applyBorder="1" applyProtection="1">
      <alignment vertical="center"/>
    </xf>
    <xf numFmtId="38" fontId="0" fillId="0" borderId="52" xfId="1" applyFont="1" applyBorder="1" applyProtection="1">
      <alignment vertical="center"/>
    </xf>
    <xf numFmtId="0" fontId="5" fillId="0" borderId="52" xfId="0" applyFont="1" applyBorder="1">
      <alignment vertical="center"/>
    </xf>
    <xf numFmtId="38" fontId="5" fillId="0" borderId="52" xfId="1" applyFont="1" applyBorder="1" applyProtection="1">
      <alignment vertical="center"/>
    </xf>
    <xf numFmtId="38" fontId="0" fillId="0" borderId="0" xfId="1" applyFont="1" applyProtection="1">
      <alignment vertical="center"/>
    </xf>
    <xf numFmtId="38" fontId="0" fillId="0" borderId="47" xfId="1" applyFont="1" applyBorder="1" applyProtection="1">
      <alignment vertical="center"/>
    </xf>
    <xf numFmtId="38" fontId="3" fillId="0" borderId="0" xfId="1" applyFont="1" applyFill="1" applyBorder="1" applyAlignment="1" applyProtection="1">
      <alignment vertical="center"/>
    </xf>
    <xf numFmtId="38" fontId="0" fillId="0" borderId="0" xfId="1" applyFont="1" applyBorder="1" applyProtection="1">
      <alignment vertical="center"/>
    </xf>
    <xf numFmtId="0" fontId="8" fillId="5" borderId="38" xfId="0" applyFont="1" applyFill="1" applyBorder="1">
      <alignment vertical="center"/>
    </xf>
    <xf numFmtId="0" fontId="8" fillId="5" borderId="40" xfId="0" applyFont="1" applyFill="1" applyBorder="1">
      <alignment vertical="center"/>
    </xf>
    <xf numFmtId="38" fontId="12" fillId="0" borderId="0" xfId="1" applyFont="1" applyBorder="1" applyProtection="1">
      <alignment vertical="center"/>
    </xf>
    <xf numFmtId="38" fontId="11" fillId="0" borderId="0" xfId="1" applyFont="1" applyBorder="1" applyProtection="1">
      <alignment vertical="center"/>
    </xf>
    <xf numFmtId="0" fontId="0" fillId="0" borderId="43" xfId="0" applyBorder="1">
      <alignment vertical="center"/>
    </xf>
    <xf numFmtId="38" fontId="13" fillId="0" borderId="0" xfId="1" applyFont="1" applyBorder="1" applyProtection="1">
      <alignment vertical="center"/>
    </xf>
    <xf numFmtId="38" fontId="0" fillId="3" borderId="27" xfId="1" applyFont="1" applyFill="1" applyBorder="1" applyAlignment="1" applyProtection="1">
      <alignment vertical="center" shrinkToFit="1"/>
    </xf>
    <xf numFmtId="38" fontId="0" fillId="0" borderId="0" xfId="1" applyFont="1" applyFill="1" applyBorder="1" applyAlignment="1" applyProtection="1">
      <alignment vertical="center"/>
    </xf>
    <xf numFmtId="38" fontId="0" fillId="10" borderId="2" xfId="1" applyFont="1" applyFill="1" applyBorder="1" applyAlignment="1" applyProtection="1">
      <alignment vertical="center" shrinkToFit="1"/>
    </xf>
    <xf numFmtId="38" fontId="6" fillId="10" borderId="27" xfId="1" applyFont="1" applyFill="1" applyBorder="1" applyAlignment="1" applyProtection="1">
      <alignment vertical="center" shrinkToFit="1"/>
    </xf>
    <xf numFmtId="0" fontId="10" fillId="7" borderId="2" xfId="0" applyFont="1" applyFill="1" applyBorder="1" applyAlignment="1">
      <alignment vertical="center" shrinkToFit="1"/>
    </xf>
    <xf numFmtId="0" fontId="11" fillId="7" borderId="2" xfId="0" applyFont="1" applyFill="1" applyBorder="1" applyAlignment="1">
      <alignment vertical="center" shrinkToFit="1"/>
    </xf>
    <xf numFmtId="0" fontId="11" fillId="7" borderId="16" xfId="0" applyFont="1" applyFill="1" applyBorder="1" applyAlignment="1">
      <alignment vertical="center" shrinkToFit="1"/>
    </xf>
    <xf numFmtId="38" fontId="0" fillId="3" borderId="32" xfId="1" applyFont="1" applyFill="1" applyBorder="1" applyAlignment="1" applyProtection="1">
      <alignment vertical="center" shrinkToFit="1"/>
    </xf>
    <xf numFmtId="0" fontId="11" fillId="7" borderId="8" xfId="0" applyFont="1" applyFill="1" applyBorder="1" applyAlignment="1">
      <alignment vertical="center" shrinkToFit="1"/>
    </xf>
    <xf numFmtId="0" fontId="11" fillId="7" borderId="18" xfId="0" applyFont="1" applyFill="1" applyBorder="1" applyAlignment="1">
      <alignment vertical="center" shrinkToFit="1"/>
    </xf>
    <xf numFmtId="0" fontId="0" fillId="3" borderId="41" xfId="0" applyFill="1" applyBorder="1" applyAlignment="1">
      <alignment vertical="center" shrinkToFit="1"/>
    </xf>
    <xf numFmtId="0" fontId="11" fillId="7" borderId="51" xfId="0" applyFont="1" applyFill="1" applyBorder="1" applyAlignment="1">
      <alignment vertical="center" shrinkToFit="1"/>
    </xf>
    <xf numFmtId="0" fontId="0" fillId="3" borderId="32" xfId="0" applyFill="1" applyBorder="1" applyAlignment="1">
      <alignment vertical="center" shrinkToFit="1"/>
    </xf>
    <xf numFmtId="38" fontId="0" fillId="10" borderId="37" xfId="1" applyFont="1" applyFill="1" applyBorder="1" applyAlignment="1" applyProtection="1">
      <alignment vertical="center" shrinkToFit="1"/>
    </xf>
    <xf numFmtId="38" fontId="6" fillId="10" borderId="37" xfId="1" applyFont="1" applyFill="1" applyBorder="1" applyAlignment="1" applyProtection="1">
      <alignment vertical="center" shrinkToFit="1"/>
    </xf>
    <xf numFmtId="38" fontId="6" fillId="10" borderId="32" xfId="1" applyFont="1" applyFill="1" applyBorder="1" applyAlignment="1" applyProtection="1">
      <alignment vertical="center" shrinkToFit="1"/>
    </xf>
    <xf numFmtId="38" fontId="0" fillId="0" borderId="0" xfId="1" applyFont="1" applyFill="1" applyBorder="1" applyAlignment="1" applyProtection="1">
      <alignment vertical="center" shrinkToFit="1"/>
    </xf>
    <xf numFmtId="38" fontId="6" fillId="0" borderId="0" xfId="1" applyFont="1" applyFill="1" applyBorder="1" applyAlignment="1" applyProtection="1">
      <alignment vertical="center"/>
    </xf>
    <xf numFmtId="38" fontId="6" fillId="0" borderId="0" xfId="1" applyFont="1" applyFill="1" applyBorder="1" applyAlignment="1" applyProtection="1">
      <alignment vertical="center" shrinkToFit="1"/>
    </xf>
    <xf numFmtId="38" fontId="0" fillId="0" borderId="0" xfId="1" applyFont="1" applyFill="1" applyBorder="1" applyAlignment="1" applyProtection="1">
      <alignment horizontal="center" vertical="center" shrinkToFit="1"/>
    </xf>
    <xf numFmtId="38" fontId="0" fillId="0" borderId="0" xfId="1" applyFont="1" applyFill="1" applyBorder="1" applyAlignment="1" applyProtection="1">
      <alignment horizontal="center" vertical="center"/>
    </xf>
    <xf numFmtId="38" fontId="9" fillId="0" borderId="0" xfId="1" applyFont="1" applyFill="1" applyBorder="1" applyAlignment="1" applyProtection="1">
      <alignment horizontal="center" vertical="center"/>
    </xf>
    <xf numFmtId="0" fontId="3" fillId="0" borderId="0" xfId="0" applyFont="1">
      <alignment vertical="center"/>
    </xf>
    <xf numFmtId="38" fontId="11" fillId="6" borderId="67" xfId="1" applyFont="1" applyFill="1" applyBorder="1" applyAlignment="1" applyProtection="1">
      <alignment vertical="center"/>
    </xf>
    <xf numFmtId="38" fontId="11" fillId="6" borderId="68" xfId="1" applyFont="1" applyFill="1" applyBorder="1" applyAlignment="1" applyProtection="1">
      <alignment vertical="center"/>
    </xf>
    <xf numFmtId="38" fontId="11" fillId="6" borderId="68" xfId="1" applyFont="1" applyFill="1" applyBorder="1" applyAlignment="1" applyProtection="1">
      <alignment horizontal="center" vertical="center"/>
    </xf>
    <xf numFmtId="38" fontId="6" fillId="6" borderId="5" xfId="1" applyFont="1" applyFill="1" applyBorder="1" applyAlignment="1" applyProtection="1">
      <alignment horizontal="center" vertical="center"/>
    </xf>
    <xf numFmtId="38" fontId="11" fillId="6" borderId="5" xfId="1" applyFont="1" applyFill="1" applyBorder="1" applyAlignment="1" applyProtection="1">
      <alignment horizontal="center" vertical="center"/>
    </xf>
    <xf numFmtId="38" fontId="3" fillId="2" borderId="27" xfId="1" applyFont="1" applyFill="1" applyBorder="1" applyAlignment="1" applyProtection="1">
      <alignment vertical="center" shrinkToFit="1"/>
    </xf>
    <xf numFmtId="38" fontId="6" fillId="6" borderId="73" xfId="1" applyFont="1" applyFill="1" applyBorder="1" applyAlignment="1" applyProtection="1">
      <alignment horizontal="center" vertical="center"/>
    </xf>
    <xf numFmtId="38" fontId="11" fillId="6" borderId="73" xfId="1" applyFont="1" applyFill="1" applyBorder="1" applyAlignment="1" applyProtection="1">
      <alignment horizontal="center" vertical="center"/>
    </xf>
    <xf numFmtId="38" fontId="0" fillId="0" borderId="0" xfId="1" applyFont="1" applyFill="1" applyBorder="1" applyProtection="1">
      <alignment vertical="center"/>
    </xf>
    <xf numFmtId="38" fontId="3" fillId="2" borderId="32" xfId="1" applyFont="1" applyFill="1" applyBorder="1" applyAlignment="1" applyProtection="1">
      <alignment vertical="center" shrinkToFit="1"/>
    </xf>
    <xf numFmtId="38" fontId="4" fillId="0" borderId="0" xfId="1" applyFont="1" applyFill="1" applyBorder="1" applyAlignment="1" applyProtection="1">
      <alignment horizontal="center" vertical="center" shrinkToFit="1"/>
    </xf>
    <xf numFmtId="38" fontId="17" fillId="0" borderId="40" xfId="1" applyFont="1" applyFill="1" applyBorder="1" applyAlignment="1" applyProtection="1">
      <alignment horizontal="center" vertical="center"/>
    </xf>
    <xf numFmtId="38" fontId="0" fillId="0" borderId="47" xfId="1" applyFont="1" applyFill="1" applyBorder="1" applyProtection="1">
      <alignment vertical="center"/>
    </xf>
    <xf numFmtId="38" fontId="0" fillId="0" borderId="76" xfId="1" applyFont="1" applyFill="1" applyBorder="1" applyProtection="1">
      <alignment vertical="center"/>
    </xf>
    <xf numFmtId="38" fontId="0" fillId="0" borderId="0" xfId="1" applyFont="1" applyFill="1" applyProtection="1">
      <alignment vertical="center"/>
    </xf>
    <xf numFmtId="0" fontId="3" fillId="0" borderId="0" xfId="0" applyFont="1" applyAlignment="1">
      <alignment horizontal="center" vertical="center"/>
    </xf>
    <xf numFmtId="0" fontId="0" fillId="0" borderId="0" xfId="0" applyAlignment="1">
      <alignment vertical="center" shrinkToFit="1"/>
    </xf>
    <xf numFmtId="38" fontId="4" fillId="0" borderId="0" xfId="1" applyFont="1" applyFill="1" applyBorder="1" applyAlignment="1" applyProtection="1">
      <alignment vertical="center"/>
    </xf>
    <xf numFmtId="0" fontId="3" fillId="3" borderId="47" xfId="0" applyFont="1" applyFill="1" applyBorder="1">
      <alignment vertical="center"/>
    </xf>
    <xf numFmtId="0" fontId="0" fillId="3" borderId="0" xfId="0" applyFill="1">
      <alignment vertical="center"/>
    </xf>
    <xf numFmtId="0" fontId="0" fillId="3" borderId="9" xfId="0" applyFill="1" applyBorder="1">
      <alignment vertical="center"/>
    </xf>
    <xf numFmtId="0" fontId="3" fillId="3" borderId="0" xfId="0" applyFont="1" applyFill="1">
      <alignment vertical="center"/>
    </xf>
    <xf numFmtId="0" fontId="3" fillId="3" borderId="12" xfId="0" applyFont="1" applyFill="1" applyBorder="1">
      <alignment vertical="center"/>
    </xf>
    <xf numFmtId="0" fontId="0" fillId="3" borderId="76" xfId="0" applyFill="1" applyBorder="1">
      <alignment vertical="center"/>
    </xf>
    <xf numFmtId="0" fontId="0" fillId="3" borderId="47" xfId="0" applyFill="1" applyBorder="1">
      <alignment vertical="center"/>
    </xf>
    <xf numFmtId="0" fontId="0" fillId="3" borderId="12" xfId="0" applyFill="1" applyBorder="1">
      <alignment vertical="center"/>
    </xf>
    <xf numFmtId="0" fontId="0" fillId="3" borderId="0" xfId="0" applyFill="1" applyAlignment="1">
      <alignment horizontal="center" vertical="center"/>
    </xf>
    <xf numFmtId="0" fontId="0" fillId="2" borderId="2" xfId="0" applyFill="1" applyBorder="1" applyAlignment="1">
      <alignment vertical="center" shrinkToFit="1"/>
    </xf>
    <xf numFmtId="38" fontId="0" fillId="3" borderId="76" xfId="1" applyFont="1" applyFill="1" applyBorder="1" applyAlignment="1" applyProtection="1">
      <alignment vertical="center"/>
    </xf>
    <xf numFmtId="38" fontId="0" fillId="3" borderId="9" xfId="1" applyFont="1" applyFill="1" applyBorder="1" applyAlignment="1" applyProtection="1">
      <alignment vertical="center"/>
    </xf>
    <xf numFmtId="38" fontId="0" fillId="3" borderId="0" xfId="1" applyFont="1" applyFill="1" applyBorder="1" applyAlignment="1" applyProtection="1">
      <alignment vertical="center"/>
    </xf>
    <xf numFmtId="0" fontId="0" fillId="3" borderId="89" xfId="0" applyFill="1" applyBorder="1">
      <alignment vertical="center"/>
    </xf>
    <xf numFmtId="0" fontId="0" fillId="3" borderId="4" xfId="0" applyFill="1" applyBorder="1" applyAlignment="1">
      <alignment horizontal="center" vertical="center"/>
    </xf>
    <xf numFmtId="0" fontId="0" fillId="3" borderId="4" xfId="0" applyFill="1" applyBorder="1">
      <alignment vertical="center"/>
    </xf>
    <xf numFmtId="38" fontId="0" fillId="3" borderId="10" xfId="1" applyFont="1" applyFill="1" applyBorder="1" applyAlignment="1" applyProtection="1">
      <alignment vertical="center"/>
    </xf>
    <xf numFmtId="0" fontId="0" fillId="3" borderId="13" xfId="0" applyFill="1" applyBorder="1">
      <alignment vertical="center"/>
    </xf>
    <xf numFmtId="38" fontId="0" fillId="3" borderId="4" xfId="1" applyFont="1" applyFill="1" applyBorder="1" applyAlignment="1" applyProtection="1">
      <alignment vertical="center"/>
    </xf>
    <xf numFmtId="0" fontId="0" fillId="2" borderId="97" xfId="0" applyFill="1" applyBorder="1" applyAlignment="1">
      <alignment vertical="center" shrinkToFit="1"/>
    </xf>
    <xf numFmtId="38" fontId="0" fillId="3" borderId="90" xfId="1" applyFont="1" applyFill="1" applyBorder="1" applyAlignment="1" applyProtection="1">
      <alignment vertical="center"/>
    </xf>
    <xf numFmtId="0" fontId="0" fillId="9" borderId="0" xfId="0" applyFill="1">
      <alignment vertical="center"/>
    </xf>
    <xf numFmtId="38" fontId="3" fillId="3" borderId="0" xfId="1" applyFont="1" applyFill="1" applyBorder="1" applyAlignment="1" applyProtection="1">
      <alignment horizontal="right" vertical="center"/>
    </xf>
    <xf numFmtId="38" fontId="3" fillId="3" borderId="5" xfId="1" applyFont="1" applyFill="1" applyBorder="1" applyAlignment="1" applyProtection="1">
      <alignment horizontal="right" vertical="center"/>
    </xf>
    <xf numFmtId="0" fontId="0" fillId="3" borderId="5" xfId="0" applyFill="1" applyBorder="1" applyAlignment="1">
      <alignment vertical="center" shrinkToFit="1"/>
    </xf>
    <xf numFmtId="38" fontId="3" fillId="3" borderId="4" xfId="1" applyFont="1" applyFill="1" applyBorder="1" applyAlignment="1" applyProtection="1">
      <alignment horizontal="right" vertical="center"/>
    </xf>
    <xf numFmtId="0" fontId="7" fillId="5" borderId="2" xfId="0" applyFont="1" applyFill="1" applyBorder="1" applyAlignment="1">
      <alignment vertical="center" shrinkToFit="1"/>
    </xf>
    <xf numFmtId="0" fontId="0" fillId="3" borderId="10" xfId="0" applyFill="1" applyBorder="1">
      <alignment vertical="center"/>
    </xf>
    <xf numFmtId="0" fontId="0" fillId="3" borderId="90" xfId="0" applyFill="1" applyBorder="1">
      <alignment vertical="center"/>
    </xf>
    <xf numFmtId="0" fontId="9" fillId="3" borderId="0" xfId="0" applyFont="1" applyFill="1">
      <alignment vertical="center"/>
    </xf>
    <xf numFmtId="0" fontId="3" fillId="2" borderId="2" xfId="0" applyFont="1" applyFill="1" applyBorder="1" applyAlignment="1">
      <alignment vertical="center" shrinkToFit="1"/>
    </xf>
    <xf numFmtId="0" fontId="0" fillId="3" borderId="22" xfId="0" applyFill="1" applyBorder="1">
      <alignment vertical="center"/>
    </xf>
    <xf numFmtId="38" fontId="0" fillId="6" borderId="87" xfId="0" applyNumberFormat="1" applyFill="1" applyBorder="1" applyAlignment="1">
      <alignment vertical="center" shrinkToFit="1"/>
    </xf>
    <xf numFmtId="38" fontId="4" fillId="6" borderId="72" xfId="0" applyNumberFormat="1" applyFont="1" applyFill="1" applyBorder="1">
      <alignment vertical="center"/>
    </xf>
    <xf numFmtId="38" fontId="3" fillId="6" borderId="72" xfId="0" applyNumberFormat="1" applyFont="1" applyFill="1" applyBorder="1">
      <alignment vertical="center"/>
    </xf>
    <xf numFmtId="0" fontId="4" fillId="6" borderId="87" xfId="0" applyFont="1" applyFill="1" applyBorder="1" applyAlignment="1">
      <alignment vertical="center" shrinkToFit="1"/>
    </xf>
    <xf numFmtId="0" fontId="4" fillId="6" borderId="74" xfId="0" applyFont="1" applyFill="1" applyBorder="1" applyAlignment="1">
      <alignment vertical="center" shrinkToFit="1"/>
    </xf>
    <xf numFmtId="0" fontId="0" fillId="0" borderId="0" xfId="0" applyAlignment="1">
      <alignment horizontal="center" vertical="center"/>
    </xf>
    <xf numFmtId="38" fontId="0" fillId="0" borderId="0" xfId="0" applyNumberFormat="1" applyAlignment="1">
      <alignment horizontal="right" vertical="center"/>
    </xf>
    <xf numFmtId="0" fontId="0" fillId="0" borderId="0" xfId="0" applyAlignment="1">
      <alignment horizontal="right" vertical="center"/>
    </xf>
    <xf numFmtId="38" fontId="0" fillId="0" borderId="0" xfId="0" applyNumberFormat="1" applyAlignment="1">
      <alignment vertical="center" shrinkToFit="1"/>
    </xf>
    <xf numFmtId="38" fontId="4" fillId="0" borderId="0" xfId="0" applyNumberFormat="1" applyFont="1">
      <alignment vertical="center"/>
    </xf>
    <xf numFmtId="38" fontId="3" fillId="0" borderId="0" xfId="0" applyNumberFormat="1" applyFont="1">
      <alignment vertical="center"/>
    </xf>
    <xf numFmtId="38" fontId="3" fillId="0" borderId="0" xfId="0" applyNumberFormat="1" applyFont="1" applyAlignment="1">
      <alignment horizontal="center" vertical="center"/>
    </xf>
    <xf numFmtId="0" fontId="4" fillId="0" borderId="0" xfId="0" applyFont="1" applyAlignment="1">
      <alignment vertical="center" shrinkToFit="1"/>
    </xf>
    <xf numFmtId="38" fontId="3" fillId="0" borderId="0" xfId="0" applyNumberFormat="1" applyFont="1" applyAlignment="1">
      <alignment horizontal="right" vertical="center"/>
    </xf>
    <xf numFmtId="0" fontId="3" fillId="0" borderId="0" xfId="0" applyFont="1" applyAlignment="1">
      <alignment horizontal="right" vertical="center"/>
    </xf>
    <xf numFmtId="0" fontId="0" fillId="0" borderId="38" xfId="0" applyBorder="1" applyAlignment="1">
      <alignment horizontal="center" vertical="center"/>
    </xf>
    <xf numFmtId="38" fontId="0" fillId="0" borderId="141" xfId="1" applyFont="1" applyBorder="1" applyAlignment="1">
      <alignment vertical="center" shrinkToFit="1"/>
    </xf>
    <xf numFmtId="178" fontId="38" fillId="4" borderId="141" xfId="0" applyNumberFormat="1" applyFont="1" applyFill="1" applyBorder="1" applyAlignment="1">
      <alignment horizontal="centerContinuous" vertical="center" shrinkToFit="1"/>
    </xf>
    <xf numFmtId="178" fontId="38" fillId="4" borderId="142" xfId="0" applyNumberFormat="1" applyFont="1" applyFill="1" applyBorder="1" applyAlignment="1">
      <alignment horizontal="centerContinuous" vertical="center" shrinkToFit="1"/>
    </xf>
    <xf numFmtId="178" fontId="38" fillId="4" borderId="141" xfId="0" applyNumberFormat="1" applyFont="1" applyFill="1" applyBorder="1" applyAlignment="1">
      <alignment horizontal="center" vertical="center" shrinkToFit="1"/>
    </xf>
    <xf numFmtId="178" fontId="38" fillId="4" borderId="142" xfId="0" applyNumberFormat="1" applyFont="1" applyFill="1" applyBorder="1" applyAlignment="1">
      <alignment horizontal="center" vertical="center" shrinkToFit="1"/>
    </xf>
    <xf numFmtId="177" fontId="37" fillId="6" borderId="1" xfId="0" applyNumberFormat="1" applyFont="1" applyFill="1" applyBorder="1" applyAlignment="1">
      <alignment horizontal="center" vertical="center" shrinkToFit="1"/>
    </xf>
    <xf numFmtId="0" fontId="0" fillId="6" borderId="11" xfId="0" applyFill="1" applyBorder="1" applyAlignment="1">
      <alignment horizontal="center" shrinkToFit="1"/>
    </xf>
    <xf numFmtId="0" fontId="0" fillId="6" borderId="58" xfId="0" applyFill="1" applyBorder="1" applyAlignment="1">
      <alignment horizontal="center" vertical="top" shrinkToFit="1"/>
    </xf>
    <xf numFmtId="38" fontId="39" fillId="13" borderId="142" xfId="1" applyFont="1" applyFill="1" applyBorder="1" applyAlignment="1">
      <alignment vertical="center" shrinkToFit="1"/>
    </xf>
    <xf numFmtId="0" fontId="0" fillId="6" borderId="6" xfId="0" applyFill="1" applyBorder="1" applyAlignment="1">
      <alignment horizontal="center" shrinkToFit="1"/>
    </xf>
    <xf numFmtId="0" fontId="0" fillId="6" borderId="19" xfId="0" applyFill="1" applyBorder="1" applyAlignment="1">
      <alignment horizontal="center" vertical="top" shrinkToFit="1"/>
    </xf>
    <xf numFmtId="177" fontId="37" fillId="6" borderId="3" xfId="0" applyNumberFormat="1" applyFont="1" applyFill="1" applyBorder="1" applyAlignment="1">
      <alignment horizontal="center" vertical="center" shrinkToFit="1"/>
    </xf>
    <xf numFmtId="0" fontId="0" fillId="14" borderId="100" xfId="0" applyFill="1" applyBorder="1" applyAlignment="1">
      <alignment horizontal="center" vertical="center" shrinkToFit="1"/>
    </xf>
    <xf numFmtId="38" fontId="3" fillId="0" borderId="0" xfId="1" applyFont="1" applyBorder="1" applyAlignment="1" applyProtection="1">
      <alignment vertical="center" shrinkToFit="1"/>
    </xf>
    <xf numFmtId="38" fontId="0" fillId="0" borderId="52" xfId="1" applyFont="1" applyFill="1" applyBorder="1" applyProtection="1">
      <alignment vertical="center"/>
    </xf>
    <xf numFmtId="38" fontId="0" fillId="0" borderId="54" xfId="1" applyFont="1" applyFill="1" applyBorder="1" applyProtection="1">
      <alignment vertical="center"/>
    </xf>
    <xf numFmtId="38" fontId="3" fillId="0" borderId="0" xfId="1" applyFont="1" applyFill="1" applyBorder="1" applyAlignment="1" applyProtection="1">
      <alignment vertical="center" shrinkToFit="1"/>
    </xf>
    <xf numFmtId="38" fontId="3" fillId="0" borderId="76" xfId="1" applyFont="1" applyFill="1" applyBorder="1" applyAlignment="1" applyProtection="1">
      <alignment vertical="center" shrinkToFit="1"/>
    </xf>
    <xf numFmtId="0" fontId="8" fillId="0" borderId="0" xfId="0" applyFont="1">
      <alignment vertical="center"/>
    </xf>
    <xf numFmtId="0" fontId="10" fillId="0" borderId="0" xfId="0" applyFont="1" applyAlignment="1">
      <alignment vertical="center" shrinkToFit="1"/>
    </xf>
    <xf numFmtId="0" fontId="11" fillId="0" borderId="0" xfId="0" applyFont="1" applyAlignment="1">
      <alignment vertical="center" shrinkToFit="1"/>
    </xf>
    <xf numFmtId="38" fontId="11" fillId="0" borderId="0" xfId="1" applyFont="1" applyFill="1" applyBorder="1" applyAlignment="1" applyProtection="1">
      <alignment horizontal="center" vertical="center"/>
    </xf>
    <xf numFmtId="38" fontId="0" fillId="0" borderId="14" xfId="1" applyFont="1" applyFill="1" applyBorder="1" applyProtection="1">
      <alignment vertical="center"/>
    </xf>
    <xf numFmtId="38" fontId="0" fillId="0" borderId="21" xfId="1" applyFont="1" applyFill="1" applyBorder="1" applyProtection="1">
      <alignment vertical="center"/>
    </xf>
    <xf numFmtId="38" fontId="11" fillId="0" borderId="0" xfId="1" applyFont="1" applyFill="1" applyBorder="1" applyAlignment="1" applyProtection="1">
      <alignment vertical="center" shrinkToFit="1"/>
    </xf>
    <xf numFmtId="0" fontId="6" fillId="0" borderId="0" xfId="0" applyFont="1">
      <alignment vertical="center"/>
    </xf>
    <xf numFmtId="0" fontId="11" fillId="7" borderId="5" xfId="0" applyFont="1" applyFill="1" applyBorder="1" applyAlignment="1">
      <alignment vertical="center" shrinkToFit="1"/>
    </xf>
    <xf numFmtId="0" fontId="11" fillId="7" borderId="7" xfId="0" applyFont="1" applyFill="1" applyBorder="1" applyAlignment="1">
      <alignment vertical="center" shrinkToFit="1"/>
    </xf>
    <xf numFmtId="0" fontId="11" fillId="7" borderId="42" xfId="0" applyFont="1" applyFill="1" applyBorder="1" applyAlignment="1">
      <alignment vertical="center" shrinkToFit="1"/>
    </xf>
    <xf numFmtId="0" fontId="11" fillId="7" borderId="154" xfId="0" applyFont="1" applyFill="1" applyBorder="1" applyAlignment="1">
      <alignment vertical="center" shrinkToFit="1"/>
    </xf>
    <xf numFmtId="38" fontId="0" fillId="15" borderId="40" xfId="1" applyFont="1" applyFill="1" applyBorder="1" applyProtection="1">
      <alignment vertical="center"/>
    </xf>
    <xf numFmtId="0" fontId="8" fillId="15" borderId="40" xfId="0" applyFont="1" applyFill="1" applyBorder="1">
      <alignment vertical="center"/>
    </xf>
    <xf numFmtId="0" fontId="8" fillId="15" borderId="39" xfId="0" applyFont="1" applyFill="1" applyBorder="1">
      <alignment vertical="center"/>
    </xf>
    <xf numFmtId="0" fontId="4" fillId="6" borderId="73" xfId="0" applyFont="1" applyFill="1" applyBorder="1" applyAlignment="1">
      <alignment vertical="center" shrinkToFit="1"/>
    </xf>
    <xf numFmtId="0" fontId="8" fillId="0" borderId="76" xfId="0" applyFont="1" applyBorder="1">
      <alignment vertical="center"/>
    </xf>
    <xf numFmtId="0" fontId="0" fillId="0" borderId="76" xfId="0" applyBorder="1">
      <alignment vertical="center"/>
    </xf>
    <xf numFmtId="38" fontId="0" fillId="0" borderId="76" xfId="1" applyFont="1" applyFill="1" applyBorder="1" applyAlignment="1" applyProtection="1">
      <alignment vertical="center" shrinkToFit="1"/>
    </xf>
    <xf numFmtId="38" fontId="0" fillId="0" borderId="76" xfId="1" applyFont="1" applyFill="1" applyBorder="1" applyAlignment="1" applyProtection="1">
      <alignment horizontal="center" vertical="center" shrinkToFit="1"/>
    </xf>
    <xf numFmtId="0" fontId="0" fillId="3" borderId="46" xfId="0" applyFill="1" applyBorder="1" applyAlignment="1">
      <alignment vertical="center" shrinkToFit="1"/>
    </xf>
    <xf numFmtId="38" fontId="0" fillId="3" borderId="92" xfId="1" applyFont="1" applyFill="1" applyBorder="1" applyAlignment="1" applyProtection="1">
      <alignment vertical="center" shrinkToFit="1"/>
    </xf>
    <xf numFmtId="0" fontId="0" fillId="3" borderId="35" xfId="0" applyFill="1" applyBorder="1" applyAlignment="1">
      <alignment vertical="center" shrinkToFit="1"/>
    </xf>
    <xf numFmtId="0" fontId="0" fillId="3" borderId="25" xfId="0" applyFill="1" applyBorder="1" applyAlignment="1">
      <alignment vertical="center" shrinkToFit="1"/>
    </xf>
    <xf numFmtId="0" fontId="0" fillId="0" borderId="159" xfId="0" applyBorder="1" applyAlignment="1">
      <alignment horizontal="center" vertical="center" shrinkToFit="1"/>
    </xf>
    <xf numFmtId="5" fontId="0" fillId="0" borderId="159" xfId="0" applyNumberFormat="1" applyBorder="1" applyAlignment="1">
      <alignment horizontal="right" vertical="center" shrinkToFit="1"/>
    </xf>
    <xf numFmtId="5" fontId="0" fillId="0" borderId="160" xfId="0" applyNumberFormat="1" applyBorder="1" applyAlignment="1">
      <alignment horizontal="right" vertical="center" shrinkToFit="1"/>
    </xf>
    <xf numFmtId="0" fontId="14" fillId="4" borderId="126" xfId="0" applyFont="1" applyFill="1" applyBorder="1" applyAlignment="1">
      <alignment horizontal="center" vertical="center" wrapText="1"/>
    </xf>
    <xf numFmtId="0" fontId="0" fillId="14" borderId="100" xfId="0" applyFill="1" applyBorder="1" applyAlignment="1">
      <alignment vertical="center" shrinkToFit="1"/>
    </xf>
    <xf numFmtId="0" fontId="0" fillId="0" borderId="40" xfId="0" applyBorder="1">
      <alignment vertical="center"/>
    </xf>
    <xf numFmtId="0" fontId="3" fillId="0" borderId="52" xfId="0" applyFont="1" applyBorder="1" applyAlignment="1">
      <alignment horizontal="left" vertical="center" wrapText="1"/>
    </xf>
    <xf numFmtId="0" fontId="29" fillId="5" borderId="96" xfId="0" applyFont="1" applyFill="1" applyBorder="1" applyAlignment="1">
      <alignment horizontal="center" vertical="center"/>
    </xf>
    <xf numFmtId="0" fontId="29" fillId="5" borderId="95" xfId="0" applyFont="1" applyFill="1" applyBorder="1" applyAlignment="1">
      <alignment horizontal="center" vertical="center"/>
    </xf>
    <xf numFmtId="0" fontId="0" fillId="5" borderId="97" xfId="0" applyFill="1" applyBorder="1" applyAlignment="1">
      <alignment horizontal="center" vertical="center"/>
    </xf>
    <xf numFmtId="0" fontId="28" fillId="0" borderId="121" xfId="0" applyFont="1" applyBorder="1" applyAlignment="1">
      <alignment horizontal="center" vertical="center"/>
    </xf>
    <xf numFmtId="0" fontId="28" fillId="0" borderId="118" xfId="0" applyFont="1" applyBorder="1" applyAlignment="1">
      <alignment horizontal="center" vertical="center"/>
    </xf>
    <xf numFmtId="0" fontId="28" fillId="0" borderId="120" xfId="0" applyFont="1" applyBorder="1" applyAlignment="1">
      <alignment horizontal="center" vertical="center"/>
    </xf>
    <xf numFmtId="0" fontId="28" fillId="0" borderId="114" xfId="0" applyFont="1" applyBorder="1" applyAlignment="1">
      <alignment horizontal="center" vertical="center"/>
    </xf>
    <xf numFmtId="0" fontId="28" fillId="0" borderId="101" xfId="0" applyFont="1" applyBorder="1" applyAlignment="1">
      <alignment horizontal="center" vertical="center"/>
    </xf>
    <xf numFmtId="0" fontId="28" fillId="0" borderId="113" xfId="0" applyFont="1" applyBorder="1" applyAlignment="1">
      <alignment horizontal="center" vertical="center"/>
    </xf>
    <xf numFmtId="0" fontId="28" fillId="0" borderId="119" xfId="0" applyFont="1" applyBorder="1" applyAlignment="1">
      <alignment horizontal="center" vertical="center"/>
    </xf>
    <xf numFmtId="0" fontId="28" fillId="0" borderId="117" xfId="0" applyFont="1" applyBorder="1" applyAlignment="1">
      <alignment horizontal="center" vertical="center"/>
    </xf>
    <xf numFmtId="0" fontId="28" fillId="0" borderId="116" xfId="0" applyFont="1" applyBorder="1" applyAlignment="1">
      <alignment horizontal="center" vertical="center"/>
    </xf>
    <xf numFmtId="0" fontId="28" fillId="0" borderId="115" xfId="0" applyFont="1" applyBorder="1" applyAlignment="1">
      <alignment horizontal="center" vertical="center"/>
    </xf>
    <xf numFmtId="0" fontId="34" fillId="0" borderId="0" xfId="0" applyFont="1" applyAlignment="1">
      <alignment horizontal="center" vertical="center"/>
    </xf>
    <xf numFmtId="0" fontId="33" fillId="0" borderId="0" xfId="0" applyFont="1" applyAlignment="1">
      <alignment horizontal="center" vertical="center"/>
    </xf>
    <xf numFmtId="0" fontId="18" fillId="4" borderId="96" xfId="0" applyFont="1" applyFill="1" applyBorder="1" applyAlignment="1">
      <alignment horizontal="center" vertical="center"/>
    </xf>
    <xf numFmtId="0" fontId="19" fillId="4" borderId="130" xfId="0" applyFont="1" applyFill="1" applyBorder="1" applyAlignment="1">
      <alignment horizontal="center" vertical="center"/>
    </xf>
    <xf numFmtId="0" fontId="28" fillId="4" borderId="133" xfId="0" applyFont="1" applyFill="1" applyBorder="1" applyAlignment="1">
      <alignment horizontal="center" vertical="center"/>
    </xf>
    <xf numFmtId="0" fontId="28" fillId="4" borderId="132" xfId="0" applyFont="1" applyFill="1" applyBorder="1" applyAlignment="1">
      <alignment horizontal="center" vertical="center"/>
    </xf>
    <xf numFmtId="0" fontId="28" fillId="4" borderId="131" xfId="0" applyFont="1" applyFill="1" applyBorder="1" applyAlignment="1">
      <alignment horizontal="center" vertical="center"/>
    </xf>
    <xf numFmtId="0" fontId="28" fillId="4" borderId="135" xfId="0" applyFont="1" applyFill="1" applyBorder="1" applyAlignment="1">
      <alignment horizontal="center" vertical="center"/>
    </xf>
    <xf numFmtId="0" fontId="28" fillId="4" borderId="134" xfId="0" applyFont="1" applyFill="1" applyBorder="1" applyAlignment="1">
      <alignment horizontal="center" vertical="center"/>
    </xf>
    <xf numFmtId="0" fontId="28" fillId="0" borderId="143" xfId="0" applyFont="1" applyBorder="1" applyAlignment="1">
      <alignment horizontal="center" vertical="center"/>
    </xf>
    <xf numFmtId="0" fontId="28" fillId="0" borderId="144" xfId="0" applyFont="1" applyBorder="1" applyAlignment="1">
      <alignment horizontal="center" vertical="center"/>
    </xf>
    <xf numFmtId="0" fontId="28" fillId="0" borderId="145" xfId="0" applyFont="1" applyBorder="1" applyAlignment="1">
      <alignment horizontal="center" vertical="center"/>
    </xf>
    <xf numFmtId="0" fontId="28" fillId="0" borderId="146" xfId="0" applyFont="1" applyBorder="1" applyAlignment="1">
      <alignment horizontal="center" vertical="center"/>
    </xf>
    <xf numFmtId="0" fontId="28" fillId="0" borderId="147" xfId="0" applyFont="1" applyBorder="1" applyAlignment="1">
      <alignment horizontal="center" vertical="center"/>
    </xf>
    <xf numFmtId="0" fontId="28" fillId="0" borderId="148" xfId="0" applyFont="1" applyBorder="1" applyAlignment="1">
      <alignment horizontal="center" vertical="center"/>
    </xf>
    <xf numFmtId="0" fontId="0" fillId="0" borderId="146" xfId="0" applyBorder="1">
      <alignment vertical="center"/>
    </xf>
    <xf numFmtId="0" fontId="0" fillId="0" borderId="147" xfId="0" applyBorder="1">
      <alignment vertical="center"/>
    </xf>
    <xf numFmtId="0" fontId="0" fillId="0" borderId="148" xfId="0" applyBorder="1">
      <alignment vertical="center"/>
    </xf>
    <xf numFmtId="0" fontId="0" fillId="0" borderId="149" xfId="0" applyBorder="1">
      <alignment vertical="center"/>
    </xf>
    <xf numFmtId="0" fontId="0" fillId="0" borderId="150" xfId="0" applyBorder="1">
      <alignment vertical="center"/>
    </xf>
    <xf numFmtId="0" fontId="0" fillId="0" borderId="151" xfId="0" applyBorder="1">
      <alignment vertical="center"/>
    </xf>
    <xf numFmtId="38" fontId="3" fillId="0" borderId="45" xfId="1" applyFont="1" applyFill="1" applyBorder="1" applyAlignment="1" applyProtection="1">
      <alignment horizontal="center" vertical="center"/>
    </xf>
    <xf numFmtId="38" fontId="3" fillId="0" borderId="0" xfId="1" applyFont="1" applyBorder="1" applyAlignment="1" applyProtection="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38" fontId="0" fillId="10" borderId="56" xfId="1" applyFont="1" applyFill="1" applyBorder="1" applyAlignment="1" applyProtection="1">
      <alignment horizontal="center" vertical="center" shrinkToFit="1"/>
    </xf>
    <xf numFmtId="38" fontId="0" fillId="10" borderId="57" xfId="1" applyFont="1" applyFill="1" applyBorder="1" applyAlignment="1" applyProtection="1">
      <alignment horizontal="center" vertical="center" shrinkToFit="1"/>
    </xf>
    <xf numFmtId="38" fontId="0" fillId="10" borderId="26" xfId="1" applyFont="1" applyFill="1" applyBorder="1" applyAlignment="1" applyProtection="1">
      <alignment horizontal="center" vertical="center" shrinkToFit="1"/>
    </xf>
    <xf numFmtId="38" fontId="0" fillId="10" borderId="1" xfId="1" applyFont="1" applyFill="1" applyBorder="1" applyAlignment="1" applyProtection="1">
      <alignment horizontal="center" vertical="center" shrinkToFit="1"/>
    </xf>
    <xf numFmtId="38" fontId="0" fillId="10" borderId="57" xfId="1" applyFont="1" applyFill="1" applyBorder="1" applyAlignment="1" applyProtection="1">
      <alignment horizontal="center" vertical="center"/>
    </xf>
    <xf numFmtId="38" fontId="0" fillId="10" borderId="1" xfId="1" applyFont="1" applyFill="1" applyBorder="1" applyAlignment="1" applyProtection="1">
      <alignment horizontal="center" vertical="center"/>
    </xf>
    <xf numFmtId="38" fontId="14" fillId="10" borderId="57" xfId="1" applyFont="1" applyFill="1" applyBorder="1" applyAlignment="1" applyProtection="1">
      <alignment horizontal="center" vertical="center" wrapText="1" shrinkToFit="1"/>
    </xf>
    <xf numFmtId="38" fontId="14" fillId="10" borderId="1" xfId="1" applyFont="1" applyFill="1" applyBorder="1" applyAlignment="1" applyProtection="1">
      <alignment horizontal="center" vertical="center" wrapText="1" shrinkToFit="1"/>
    </xf>
    <xf numFmtId="38" fontId="0" fillId="10" borderId="60" xfId="1" applyFont="1" applyFill="1" applyBorder="1" applyAlignment="1" applyProtection="1">
      <alignment horizontal="center" vertical="center"/>
    </xf>
    <xf numFmtId="38" fontId="0" fillId="10" borderId="88" xfId="1" applyFont="1" applyFill="1" applyBorder="1" applyAlignment="1" applyProtection="1">
      <alignment horizontal="center" vertical="center"/>
    </xf>
    <xf numFmtId="0" fontId="0" fillId="15" borderId="79" xfId="0" applyFill="1" applyBorder="1" applyAlignment="1">
      <alignment horizontal="center" vertical="center"/>
    </xf>
    <xf numFmtId="0" fontId="0" fillId="15" borderId="80" xfId="0" applyFill="1" applyBorder="1" applyAlignment="1">
      <alignment horizontal="center" vertical="center"/>
    </xf>
    <xf numFmtId="0" fontId="0" fillId="15" borderId="81" xfId="0" applyFill="1" applyBorder="1" applyAlignment="1">
      <alignment horizontal="center" vertical="center"/>
    </xf>
    <xf numFmtId="0" fontId="0" fillId="15" borderId="82" xfId="0" applyFill="1" applyBorder="1" applyAlignment="1">
      <alignment horizontal="center" vertical="center"/>
    </xf>
    <xf numFmtId="0" fontId="0" fillId="15" borderId="83" xfId="0" applyFill="1" applyBorder="1" applyAlignment="1">
      <alignment horizontal="center" vertical="center"/>
    </xf>
    <xf numFmtId="0" fontId="0" fillId="15" borderId="84" xfId="0" applyFill="1" applyBorder="1" applyAlignment="1">
      <alignment horizontal="center" vertical="center"/>
    </xf>
    <xf numFmtId="0" fontId="0" fillId="3" borderId="55"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horizontal="center" vertical="center"/>
    </xf>
    <xf numFmtId="38" fontId="3" fillId="0" borderId="3" xfId="1" applyFont="1" applyFill="1" applyBorder="1" applyAlignment="1" applyProtection="1">
      <alignment horizontal="right" vertical="center"/>
    </xf>
    <xf numFmtId="38" fontId="3" fillId="0" borderId="5" xfId="1" applyFont="1" applyFill="1" applyBorder="1" applyAlignment="1" applyProtection="1">
      <alignment horizontal="right" vertical="center"/>
    </xf>
    <xf numFmtId="0" fontId="0" fillId="5" borderId="48" xfId="0" applyFill="1" applyBorder="1" applyAlignment="1">
      <alignment horizontal="center" vertical="center"/>
    </xf>
    <xf numFmtId="0" fontId="0" fillId="5" borderId="49" xfId="0" applyFill="1" applyBorder="1" applyAlignment="1">
      <alignment horizontal="center" vertical="center"/>
    </xf>
    <xf numFmtId="38" fontId="6" fillId="0" borderId="94" xfId="0" applyNumberFormat="1" applyFont="1" applyBorder="1" applyAlignment="1">
      <alignment horizontal="center" vertical="center"/>
    </xf>
    <xf numFmtId="0" fontId="6" fillId="0" borderId="24" xfId="0" applyFont="1" applyBorder="1" applyAlignment="1">
      <alignment horizontal="center" vertical="center"/>
    </xf>
    <xf numFmtId="0" fontId="0" fillId="3" borderId="36" xfId="0" applyFill="1" applyBorder="1" applyAlignment="1">
      <alignment horizontal="center" vertical="center"/>
    </xf>
    <xf numFmtId="0" fontId="0" fillId="3" borderId="31" xfId="0" applyFill="1" applyBorder="1" applyAlignment="1">
      <alignment horizontal="center" vertical="center"/>
    </xf>
    <xf numFmtId="0" fontId="0" fillId="3" borderId="37" xfId="0" applyFill="1" applyBorder="1" applyAlignment="1">
      <alignment horizontal="center" vertical="center"/>
    </xf>
    <xf numFmtId="38" fontId="3" fillId="0" borderId="30" xfId="1" applyFont="1" applyFill="1" applyBorder="1" applyAlignment="1" applyProtection="1">
      <alignment horizontal="right" vertical="center"/>
    </xf>
    <xf numFmtId="38" fontId="3" fillId="0" borderId="31" xfId="1" applyFont="1" applyFill="1" applyBorder="1" applyAlignment="1" applyProtection="1">
      <alignment horizontal="right" vertical="center"/>
    </xf>
    <xf numFmtId="38" fontId="6" fillId="8" borderId="3" xfId="1" applyFont="1" applyFill="1" applyBorder="1" applyAlignment="1" applyProtection="1">
      <alignment horizontal="right" vertical="center"/>
    </xf>
    <xf numFmtId="38" fontId="6" fillId="8" borderId="5" xfId="1" applyFont="1" applyFill="1" applyBorder="1" applyAlignment="1" applyProtection="1">
      <alignment horizontal="right" vertical="center"/>
    </xf>
    <xf numFmtId="0" fontId="0" fillId="3" borderId="36" xfId="0" applyFill="1" applyBorder="1" applyAlignment="1">
      <alignment horizontal="center" vertical="center" shrinkToFit="1"/>
    </xf>
    <xf numFmtId="0" fontId="0" fillId="3" borderId="31" xfId="0" applyFill="1" applyBorder="1" applyAlignment="1">
      <alignment horizontal="center" vertical="center" shrinkToFit="1"/>
    </xf>
    <xf numFmtId="0" fontId="0" fillId="3" borderId="37" xfId="0" applyFill="1" applyBorder="1" applyAlignment="1">
      <alignment horizontal="center" vertical="center" shrinkToFit="1"/>
    </xf>
    <xf numFmtId="38" fontId="6" fillId="0" borderId="12" xfId="0" applyNumberFormat="1" applyFont="1" applyBorder="1" applyAlignment="1">
      <alignment horizontal="center" vertical="center"/>
    </xf>
    <xf numFmtId="0" fontId="6" fillId="0" borderId="0" xfId="0" applyFont="1" applyAlignment="1">
      <alignment horizontal="center" vertical="center"/>
    </xf>
    <xf numFmtId="38" fontId="6" fillId="0" borderId="157" xfId="0" applyNumberFormat="1" applyFont="1" applyBorder="1" applyAlignment="1">
      <alignment horizontal="center" vertical="center"/>
    </xf>
    <xf numFmtId="0" fontId="6" fillId="0" borderId="34" xfId="0" applyFont="1" applyBorder="1" applyAlignment="1">
      <alignment horizontal="center" vertical="center"/>
    </xf>
    <xf numFmtId="0" fontId="0" fillId="3" borderId="91"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38" fontId="3" fillId="0" borderId="6" xfId="1" applyFont="1" applyFill="1" applyBorder="1" applyAlignment="1" applyProtection="1">
      <alignment horizontal="right" vertical="center"/>
    </xf>
    <xf numFmtId="38" fontId="3" fillId="0" borderId="7" xfId="1" applyFont="1" applyFill="1" applyBorder="1" applyAlignment="1" applyProtection="1">
      <alignment horizontal="right" vertical="center"/>
    </xf>
    <xf numFmtId="0" fontId="0" fillId="10" borderId="26" xfId="0" applyFill="1" applyBorder="1" applyAlignment="1">
      <alignment horizontal="center" vertical="center"/>
    </xf>
    <xf numFmtId="0" fontId="0" fillId="10" borderId="1" xfId="0" applyFill="1" applyBorder="1" applyAlignment="1">
      <alignment horizontal="center" vertical="center"/>
    </xf>
    <xf numFmtId="38" fontId="3" fillId="0" borderId="1" xfId="1" applyFont="1" applyBorder="1" applyAlignment="1" applyProtection="1">
      <alignment horizontal="center" vertical="center" wrapText="1"/>
    </xf>
    <xf numFmtId="38" fontId="3" fillId="0" borderId="1" xfId="1" applyFont="1" applyBorder="1" applyAlignment="1" applyProtection="1">
      <alignment horizontal="right" vertical="center"/>
    </xf>
    <xf numFmtId="38" fontId="3" fillId="0" borderId="3" xfId="1" applyFont="1" applyBorder="1" applyAlignment="1" applyProtection="1">
      <alignment horizontal="right" vertical="center"/>
    </xf>
    <xf numFmtId="0" fontId="0" fillId="3" borderId="43" xfId="0" applyFill="1" applyBorder="1" applyAlignment="1">
      <alignment horizontal="center" vertical="center"/>
    </xf>
    <xf numFmtId="0" fontId="0" fillId="3" borderId="0" xfId="0" applyFill="1" applyAlignment="1">
      <alignment horizontal="center" vertical="center"/>
    </xf>
    <xf numFmtId="0" fontId="0" fillId="3" borderId="9" xfId="0" applyFill="1" applyBorder="1" applyAlignment="1">
      <alignment horizontal="center" vertical="center"/>
    </xf>
    <xf numFmtId="38" fontId="18" fillId="8" borderId="33" xfId="1" applyFont="1" applyFill="1" applyBorder="1" applyAlignment="1" applyProtection="1">
      <alignment horizontal="center" vertical="center" shrinkToFit="1"/>
    </xf>
    <xf numFmtId="38" fontId="19" fillId="8" borderId="34" xfId="1" applyFont="1" applyFill="1" applyBorder="1" applyAlignment="1" applyProtection="1">
      <alignment horizontal="center" vertical="center" shrinkToFit="1"/>
    </xf>
    <xf numFmtId="38" fontId="19" fillId="8" borderId="35" xfId="1" applyFont="1" applyFill="1" applyBorder="1" applyAlignment="1" applyProtection="1">
      <alignment horizontal="center" vertical="center" shrinkToFit="1"/>
    </xf>
    <xf numFmtId="0" fontId="0" fillId="5" borderId="15" xfId="0" applyFill="1" applyBorder="1" applyAlignment="1">
      <alignment horizontal="center" vertical="center"/>
    </xf>
    <xf numFmtId="0" fontId="0" fillId="5" borderId="1" xfId="0" applyFill="1" applyBorder="1" applyAlignment="1">
      <alignment horizontal="center" vertical="center"/>
    </xf>
    <xf numFmtId="38" fontId="0" fillId="0" borderId="1" xfId="1" applyFont="1" applyFill="1" applyBorder="1" applyAlignment="1" applyProtection="1">
      <alignment horizontal="center" vertical="center"/>
    </xf>
    <xf numFmtId="38" fontId="0" fillId="0" borderId="1" xfId="1" applyFont="1" applyBorder="1" applyAlignment="1" applyProtection="1">
      <alignment horizontal="center" vertical="center"/>
    </xf>
    <xf numFmtId="38" fontId="6" fillId="10" borderId="1" xfId="1" applyFont="1" applyFill="1" applyBorder="1" applyAlignment="1" applyProtection="1">
      <alignment horizontal="right" vertical="center"/>
    </xf>
    <xf numFmtId="38" fontId="6" fillId="10" borderId="3" xfId="1" applyFont="1" applyFill="1" applyBorder="1" applyAlignment="1" applyProtection="1">
      <alignment horizontal="right" vertical="center"/>
    </xf>
    <xf numFmtId="0" fontId="0" fillId="5" borderId="17" xfId="0" applyFill="1" applyBorder="1" applyAlignment="1">
      <alignment horizontal="center" vertical="center"/>
    </xf>
    <xf numFmtId="0" fontId="0" fillId="5" borderId="11" xfId="0" applyFill="1" applyBorder="1" applyAlignment="1">
      <alignment horizontal="center" vertical="center"/>
    </xf>
    <xf numFmtId="38" fontId="6" fillId="8" borderId="6" xfId="1" applyFont="1" applyFill="1" applyBorder="1" applyAlignment="1" applyProtection="1">
      <alignment horizontal="right" vertical="center"/>
    </xf>
    <xf numFmtId="38" fontId="6" fillId="8" borderId="7" xfId="1" applyFont="1" applyFill="1" applyBorder="1" applyAlignment="1" applyProtection="1">
      <alignment horizontal="right" vertical="center"/>
    </xf>
    <xf numFmtId="38" fontId="6" fillId="8" borderId="6" xfId="1" applyFont="1" applyFill="1" applyBorder="1" applyAlignment="1" applyProtection="1">
      <alignment vertical="center"/>
    </xf>
    <xf numFmtId="38" fontId="6" fillId="8" borderId="7" xfId="1" applyFont="1" applyFill="1" applyBorder="1" applyAlignment="1" applyProtection="1">
      <alignment vertical="center"/>
    </xf>
    <xf numFmtId="38" fontId="6" fillId="8" borderId="50" xfId="1" applyFont="1" applyFill="1" applyBorder="1" applyAlignment="1" applyProtection="1">
      <alignment horizontal="right" vertical="center"/>
    </xf>
    <xf numFmtId="38" fontId="6" fillId="8" borderId="42" xfId="1" applyFont="1" applyFill="1" applyBorder="1" applyAlignment="1" applyProtection="1">
      <alignment horizontal="right" vertical="center"/>
    </xf>
    <xf numFmtId="38" fontId="6" fillId="8" borderId="50" xfId="1" applyFont="1" applyFill="1" applyBorder="1" applyAlignment="1" applyProtection="1">
      <alignment vertical="center"/>
    </xf>
    <xf numFmtId="38" fontId="6" fillId="8" borderId="42" xfId="1" applyFont="1" applyFill="1" applyBorder="1" applyAlignment="1" applyProtection="1">
      <alignment vertical="center"/>
    </xf>
    <xf numFmtId="0" fontId="0" fillId="3" borderId="158" xfId="0" applyFill="1" applyBorder="1" applyAlignment="1">
      <alignment horizontal="center" vertical="center"/>
    </xf>
    <xf numFmtId="0" fontId="0" fillId="3" borderId="44" xfId="0" applyFill="1" applyBorder="1" applyAlignment="1">
      <alignment horizontal="center" vertical="center" shrinkToFit="1"/>
    </xf>
    <xf numFmtId="0" fontId="0" fillId="3" borderId="45" xfId="0" applyFill="1" applyBorder="1" applyAlignment="1">
      <alignment horizontal="center" vertical="center" shrinkToFit="1"/>
    </xf>
    <xf numFmtId="0" fontId="0" fillId="3" borderId="93" xfId="0" applyFill="1" applyBorder="1" applyAlignment="1">
      <alignment horizontal="center" vertical="center" shrinkToFit="1"/>
    </xf>
    <xf numFmtId="38" fontId="6" fillId="0" borderId="155" xfId="0" applyNumberFormat="1" applyFont="1" applyBorder="1" applyAlignment="1">
      <alignment horizontal="center" vertical="center"/>
    </xf>
    <xf numFmtId="0" fontId="6" fillId="0" borderId="45" xfId="0" applyFont="1" applyBorder="1" applyAlignment="1">
      <alignment horizontal="center" vertical="center"/>
    </xf>
    <xf numFmtId="38" fontId="11" fillId="6" borderId="5" xfId="1" applyFont="1" applyFill="1" applyBorder="1" applyAlignment="1" applyProtection="1">
      <alignment horizontal="left" vertical="center" shrinkToFit="1"/>
    </xf>
    <xf numFmtId="38" fontId="6" fillId="8" borderId="3" xfId="1" applyFont="1" applyFill="1" applyBorder="1" applyAlignment="1" applyProtection="1">
      <alignment vertical="center"/>
    </xf>
    <xf numFmtId="38" fontId="6" fillId="8" borderId="5" xfId="1" applyFont="1" applyFill="1" applyBorder="1" applyAlignment="1" applyProtection="1">
      <alignment vertical="center"/>
    </xf>
    <xf numFmtId="0" fontId="0" fillId="5" borderId="19" xfId="0" applyFill="1" applyBorder="1" applyAlignment="1">
      <alignment horizontal="center" vertical="center"/>
    </xf>
    <xf numFmtId="0" fontId="0" fillId="5" borderId="14" xfId="0" applyFill="1" applyBorder="1" applyAlignment="1">
      <alignment horizontal="center" vertical="center"/>
    </xf>
    <xf numFmtId="38" fontId="6" fillId="10" borderId="30" xfId="1" applyFont="1" applyFill="1" applyBorder="1" applyAlignment="1" applyProtection="1">
      <alignment horizontal="center" vertical="center"/>
    </xf>
    <xf numFmtId="38" fontId="6" fillId="10" borderId="31" xfId="1" applyFont="1" applyFill="1" applyBorder="1" applyAlignment="1" applyProtection="1">
      <alignment horizontal="center" vertical="center"/>
    </xf>
    <xf numFmtId="38" fontId="6" fillId="10" borderId="29" xfId="1" applyFont="1" applyFill="1" applyBorder="1" applyAlignment="1" applyProtection="1">
      <alignment horizontal="right" vertical="center"/>
    </xf>
    <xf numFmtId="38" fontId="6" fillId="10" borderId="30" xfId="1" applyFont="1" applyFill="1" applyBorder="1" applyAlignment="1" applyProtection="1">
      <alignment horizontal="right" vertical="center"/>
    </xf>
    <xf numFmtId="38" fontId="0" fillId="5" borderId="70" xfId="1" applyFont="1" applyFill="1" applyBorder="1" applyAlignment="1" applyProtection="1">
      <alignment horizontal="center" vertical="center" shrinkToFit="1"/>
    </xf>
    <xf numFmtId="38" fontId="0" fillId="5" borderId="71" xfId="1" applyFont="1" applyFill="1" applyBorder="1" applyAlignment="1" applyProtection="1">
      <alignment horizontal="center" vertical="center" shrinkToFit="1"/>
    </xf>
    <xf numFmtId="38" fontId="0" fillId="5" borderId="71" xfId="1" applyFont="1" applyFill="1" applyBorder="1" applyAlignment="1" applyProtection="1">
      <alignment horizontal="center" vertical="center"/>
    </xf>
    <xf numFmtId="38" fontId="6" fillId="8" borderId="71" xfId="1" applyFont="1" applyFill="1" applyBorder="1" applyAlignment="1" applyProtection="1">
      <alignment horizontal="right" vertical="center"/>
    </xf>
    <xf numFmtId="38" fontId="11" fillId="6" borderId="68" xfId="1" applyFont="1" applyFill="1" applyBorder="1" applyAlignment="1" applyProtection="1">
      <alignment horizontal="right" vertical="center" shrinkToFit="1"/>
    </xf>
    <xf numFmtId="38" fontId="11" fillId="6" borderId="68" xfId="1" applyFont="1" applyFill="1" applyBorder="1" applyAlignment="1" applyProtection="1">
      <alignment horizontal="center" vertical="center" shrinkToFit="1"/>
    </xf>
    <xf numFmtId="38" fontId="11" fillId="6" borderId="86" xfId="1" applyFont="1" applyFill="1" applyBorder="1" applyAlignment="1" applyProtection="1">
      <alignment horizontal="center" vertical="center"/>
    </xf>
    <xf numFmtId="38" fontId="11" fillId="6" borderId="87" xfId="1" applyFont="1" applyFill="1" applyBorder="1" applyAlignment="1" applyProtection="1">
      <alignment horizontal="center" vertical="center"/>
    </xf>
    <xf numFmtId="176" fontId="6" fillId="6" borderId="72" xfId="1" applyNumberFormat="1" applyFont="1" applyFill="1" applyBorder="1" applyAlignment="1" applyProtection="1">
      <alignment horizontal="right" vertical="center" shrinkToFit="1"/>
    </xf>
    <xf numFmtId="176" fontId="6" fillId="6" borderId="73" xfId="1" applyNumberFormat="1" applyFont="1" applyFill="1" applyBorder="1" applyAlignment="1" applyProtection="1">
      <alignment horizontal="right" vertical="center" shrinkToFit="1"/>
    </xf>
    <xf numFmtId="38" fontId="11" fillId="6" borderId="73" xfId="1" applyFont="1" applyFill="1" applyBorder="1" applyAlignment="1" applyProtection="1">
      <alignment horizontal="left" vertical="center"/>
    </xf>
    <xf numFmtId="38" fontId="11" fillId="6" borderId="73" xfId="1" applyFont="1" applyFill="1" applyBorder="1" applyAlignment="1" applyProtection="1">
      <alignment horizontal="left" vertical="center" shrinkToFit="1"/>
    </xf>
    <xf numFmtId="38" fontId="11" fillId="6" borderId="73" xfId="1" applyFont="1" applyFill="1" applyBorder="1" applyAlignment="1" applyProtection="1">
      <alignment horizontal="center" vertical="center" shrinkToFit="1"/>
    </xf>
    <xf numFmtId="38" fontId="11" fillId="6" borderId="5" xfId="1" applyFont="1" applyFill="1" applyBorder="1" applyAlignment="1" applyProtection="1">
      <alignment horizontal="left" vertical="center"/>
    </xf>
    <xf numFmtId="38" fontId="6" fillId="8" borderId="77" xfId="1" applyFont="1" applyFill="1" applyBorder="1" applyAlignment="1" applyProtection="1">
      <alignment horizontal="right" vertical="center"/>
    </xf>
    <xf numFmtId="38" fontId="11" fillId="6" borderId="75" xfId="1" applyFont="1" applyFill="1" applyBorder="1" applyAlignment="1" applyProtection="1">
      <alignment horizontal="center" vertical="center"/>
    </xf>
    <xf numFmtId="38" fontId="11" fillId="6" borderId="85" xfId="1" applyFont="1" applyFill="1" applyBorder="1" applyAlignment="1" applyProtection="1">
      <alignment horizontal="center" vertical="center"/>
    </xf>
    <xf numFmtId="38" fontId="11" fillId="6" borderId="65" xfId="1" applyFont="1" applyFill="1" applyBorder="1" applyAlignment="1" applyProtection="1">
      <alignment horizontal="center" vertical="center"/>
    </xf>
    <xf numFmtId="38" fontId="11" fillId="6" borderId="2" xfId="1" applyFont="1" applyFill="1" applyBorder="1" applyAlignment="1" applyProtection="1">
      <alignment horizontal="center" vertical="center"/>
    </xf>
    <xf numFmtId="176" fontId="21" fillId="6" borderId="3" xfId="1" applyNumberFormat="1" applyFont="1" applyFill="1" applyBorder="1" applyAlignment="1" applyProtection="1">
      <alignment horizontal="right" vertical="center" shrinkToFit="1"/>
    </xf>
    <xf numFmtId="176" fontId="21" fillId="6" borderId="5" xfId="1" applyNumberFormat="1" applyFont="1" applyFill="1" applyBorder="1" applyAlignment="1" applyProtection="1">
      <alignment horizontal="right" vertical="center" shrinkToFit="1"/>
    </xf>
    <xf numFmtId="38" fontId="3" fillId="2" borderId="56" xfId="1" applyFont="1" applyFill="1" applyBorder="1" applyAlignment="1" applyProtection="1">
      <alignment horizontal="center" vertical="center"/>
    </xf>
    <xf numFmtId="38" fontId="3" fillId="2" borderId="57" xfId="1" applyFont="1" applyFill="1" applyBorder="1" applyAlignment="1" applyProtection="1">
      <alignment horizontal="center" vertical="center"/>
    </xf>
    <xf numFmtId="38" fontId="3" fillId="2" borderId="60" xfId="1" applyFont="1" applyFill="1" applyBorder="1" applyAlignment="1" applyProtection="1">
      <alignment horizontal="center" vertical="center"/>
    </xf>
    <xf numFmtId="0" fontId="6" fillId="8" borderId="3" xfId="0" applyFont="1" applyFill="1" applyBorder="1" applyAlignment="1">
      <alignment horizontal="right" vertical="center"/>
    </xf>
    <xf numFmtId="0" fontId="6" fillId="8" borderId="5" xfId="0" applyFont="1" applyFill="1" applyBorder="1" applyAlignment="1">
      <alignment horizontal="right" vertical="center"/>
    </xf>
    <xf numFmtId="0" fontId="6" fillId="8" borderId="3" xfId="0" applyFont="1" applyFill="1" applyBorder="1">
      <alignment vertical="center"/>
    </xf>
    <xf numFmtId="0" fontId="6" fillId="8" borderId="5" xfId="0" applyFont="1" applyFill="1" applyBorder="1">
      <alignment vertical="center"/>
    </xf>
    <xf numFmtId="0" fontId="0" fillId="5" borderId="20" xfId="0" applyFill="1" applyBorder="1" applyAlignment="1">
      <alignment horizontal="center" vertical="center"/>
    </xf>
    <xf numFmtId="0" fontId="0" fillId="5" borderId="15" xfId="0" applyFill="1" applyBorder="1" applyAlignment="1">
      <alignment horizontal="center" vertical="center" shrinkToFit="1"/>
    </xf>
    <xf numFmtId="0" fontId="0" fillId="5" borderId="1" xfId="0" applyFill="1" applyBorder="1" applyAlignment="1">
      <alignment horizontal="center" vertical="center" shrinkToFit="1"/>
    </xf>
    <xf numFmtId="0" fontId="0" fillId="5" borderId="67" xfId="0" applyFill="1" applyBorder="1" applyAlignment="1">
      <alignment horizontal="center" vertical="center"/>
    </xf>
    <xf numFmtId="0" fontId="0" fillId="5" borderId="68" xfId="0" applyFill="1" applyBorder="1" applyAlignment="1">
      <alignment horizontal="center" vertical="center"/>
    </xf>
    <xf numFmtId="0" fontId="0" fillId="0" borderId="68" xfId="0" applyBorder="1">
      <alignment vertical="center"/>
    </xf>
    <xf numFmtId="0" fontId="0" fillId="0" borderId="69" xfId="0" applyBorder="1">
      <alignment vertical="center"/>
    </xf>
    <xf numFmtId="0" fontId="0" fillId="3" borderId="33" xfId="0" applyFill="1" applyBorder="1" applyAlignment="1">
      <alignment horizontal="center" vertical="center"/>
    </xf>
    <xf numFmtId="0" fontId="0" fillId="3" borderId="34" xfId="0" applyFill="1" applyBorder="1" applyAlignment="1">
      <alignment horizontal="center" vertical="center"/>
    </xf>
    <xf numFmtId="0" fontId="0" fillId="3" borderId="156" xfId="0" applyFill="1" applyBorder="1" applyAlignment="1">
      <alignment horizontal="center" vertical="center"/>
    </xf>
    <xf numFmtId="38" fontId="6" fillId="2" borderId="29" xfId="1" applyFont="1" applyFill="1" applyBorder="1" applyAlignment="1" applyProtection="1">
      <alignment horizontal="right" vertical="center"/>
    </xf>
    <xf numFmtId="38" fontId="6" fillId="2" borderId="30" xfId="1" applyFont="1" applyFill="1" applyBorder="1" applyAlignment="1" applyProtection="1">
      <alignment horizontal="right" vertical="center"/>
    </xf>
    <xf numFmtId="0" fontId="0" fillId="10" borderId="28" xfId="0" applyFill="1" applyBorder="1" applyAlignment="1">
      <alignment horizontal="center" vertical="center"/>
    </xf>
    <xf numFmtId="0" fontId="0" fillId="10" borderId="29" xfId="0" applyFill="1" applyBorder="1" applyAlignment="1">
      <alignment horizontal="center" vertical="center"/>
    </xf>
    <xf numFmtId="38" fontId="6" fillId="10" borderId="31" xfId="1" applyFont="1" applyFill="1" applyBorder="1" applyAlignment="1" applyProtection="1">
      <alignment horizontal="right" vertical="center"/>
    </xf>
    <xf numFmtId="38" fontId="6" fillId="10" borderId="37" xfId="1" applyFont="1" applyFill="1" applyBorder="1" applyAlignment="1" applyProtection="1">
      <alignment horizontal="center" vertical="center" shrinkToFit="1"/>
    </xf>
    <xf numFmtId="38" fontId="6" fillId="10" borderId="29" xfId="1" applyFont="1" applyFill="1" applyBorder="1" applyAlignment="1" applyProtection="1">
      <alignment horizontal="center" vertical="center" shrinkToFit="1"/>
    </xf>
    <xf numFmtId="38" fontId="0" fillId="3" borderId="0" xfId="1" applyFont="1" applyFill="1" applyBorder="1" applyAlignment="1" applyProtection="1">
      <alignment horizontal="right" vertical="center" shrinkToFit="1"/>
    </xf>
    <xf numFmtId="3" fontId="0" fillId="3" borderId="0" xfId="0" applyNumberFormat="1" applyFill="1" applyAlignment="1">
      <alignment horizontal="center" vertical="center"/>
    </xf>
    <xf numFmtId="0" fontId="3" fillId="3" borderId="0" xfId="0" applyFont="1" applyFill="1" applyAlignment="1">
      <alignment horizontal="center" vertical="center" shrinkToFit="1"/>
    </xf>
    <xf numFmtId="38" fontId="16" fillId="6" borderId="38" xfId="1" applyFont="1" applyFill="1" applyBorder="1" applyAlignment="1" applyProtection="1">
      <alignment horizontal="center" vertical="center"/>
    </xf>
    <xf numFmtId="38" fontId="16" fillId="6" borderId="40" xfId="1" applyFont="1" applyFill="1" applyBorder="1" applyAlignment="1" applyProtection="1">
      <alignment horizontal="center" vertical="center"/>
    </xf>
    <xf numFmtId="38" fontId="15" fillId="6" borderId="40" xfId="1" applyFont="1" applyFill="1" applyBorder="1" applyAlignment="1" applyProtection="1">
      <alignment horizontal="center" vertical="center"/>
    </xf>
    <xf numFmtId="38" fontId="16" fillId="6" borderId="39" xfId="1" applyFont="1" applyFill="1" applyBorder="1" applyAlignment="1" applyProtection="1">
      <alignment horizontal="center" vertical="center"/>
    </xf>
    <xf numFmtId="38" fontId="3" fillId="6" borderId="38" xfId="1" applyFont="1" applyFill="1" applyBorder="1" applyAlignment="1" applyProtection="1">
      <alignment horizontal="center" vertical="center"/>
    </xf>
    <xf numFmtId="38" fontId="3" fillId="6" borderId="40" xfId="1" applyFont="1" applyFill="1" applyBorder="1" applyAlignment="1" applyProtection="1">
      <alignment horizontal="center" vertical="center"/>
    </xf>
    <xf numFmtId="38" fontId="3" fillId="6" borderId="39" xfId="1" applyFont="1" applyFill="1" applyBorder="1" applyAlignment="1" applyProtection="1">
      <alignment horizontal="center" vertical="center"/>
    </xf>
    <xf numFmtId="38" fontId="8" fillId="6" borderId="38" xfId="1" applyFont="1" applyFill="1" applyBorder="1" applyAlignment="1" applyProtection="1">
      <alignment horizontal="right" vertical="center" shrinkToFit="1"/>
    </xf>
    <xf numFmtId="38" fontId="8" fillId="6" borderId="40" xfId="1" applyFont="1" applyFill="1" applyBorder="1" applyAlignment="1" applyProtection="1">
      <alignment horizontal="right" vertical="center" shrinkToFit="1"/>
    </xf>
    <xf numFmtId="0" fontId="3" fillId="3" borderId="0" xfId="0" applyFont="1" applyFill="1" applyAlignment="1">
      <alignment horizontal="center" vertical="center"/>
    </xf>
    <xf numFmtId="38" fontId="3" fillId="2" borderId="3" xfId="1" applyFont="1" applyFill="1" applyBorder="1" applyAlignment="1" applyProtection="1">
      <alignment horizontal="right" vertical="center" shrinkToFit="1"/>
    </xf>
    <xf numFmtId="38" fontId="3" fillId="2" borderId="5" xfId="1" applyFont="1" applyFill="1" applyBorder="1" applyAlignment="1" applyProtection="1">
      <alignment horizontal="right" vertical="center" shrinkToFit="1"/>
    </xf>
    <xf numFmtId="0" fontId="0" fillId="3" borderId="65" xfId="0" applyFill="1" applyBorder="1" applyAlignment="1">
      <alignment horizontal="center" vertical="center"/>
    </xf>
    <xf numFmtId="0" fontId="0" fillId="3" borderId="3" xfId="0" applyFill="1" applyBorder="1" applyAlignment="1">
      <alignment horizontal="center" vertical="center"/>
    </xf>
    <xf numFmtId="3" fontId="0" fillId="3" borderId="4" xfId="0" applyNumberFormat="1" applyFill="1" applyBorder="1" applyAlignment="1">
      <alignment horizontal="center" vertical="center"/>
    </xf>
    <xf numFmtId="0" fontId="3" fillId="3" borderId="4" xfId="0" applyFont="1" applyFill="1" applyBorder="1" applyAlignment="1">
      <alignment horizontal="center" vertical="center" shrinkToFit="1"/>
    </xf>
    <xf numFmtId="0" fontId="3" fillId="3" borderId="4" xfId="0" applyFont="1" applyFill="1" applyBorder="1" applyAlignment="1">
      <alignment horizontal="center" vertical="center"/>
    </xf>
    <xf numFmtId="38" fontId="0" fillId="3" borderId="4" xfId="1" applyFont="1" applyFill="1" applyBorder="1" applyAlignment="1" applyProtection="1">
      <alignment horizontal="right" vertical="center" shrinkToFit="1"/>
    </xf>
    <xf numFmtId="38" fontId="6" fillId="3" borderId="4" xfId="1" applyFont="1" applyFill="1" applyBorder="1" applyAlignment="1" applyProtection="1">
      <alignment horizontal="center" vertical="center"/>
    </xf>
    <xf numFmtId="38" fontId="6" fillId="3" borderId="10" xfId="1" applyFont="1" applyFill="1" applyBorder="1" applyAlignment="1" applyProtection="1">
      <alignment horizontal="center" vertical="center"/>
    </xf>
    <xf numFmtId="38" fontId="6" fillId="5" borderId="3" xfId="1" applyFont="1" applyFill="1" applyBorder="1" applyAlignment="1" applyProtection="1">
      <alignment horizontal="right" vertical="center"/>
    </xf>
    <xf numFmtId="38" fontId="6" fillId="5" borderId="5" xfId="1" applyFont="1" applyFill="1" applyBorder="1" applyAlignment="1" applyProtection="1">
      <alignment horizontal="right" vertical="center"/>
    </xf>
    <xf numFmtId="38" fontId="3" fillId="3" borderId="0" xfId="1" applyFont="1" applyFill="1" applyBorder="1" applyAlignment="1" applyProtection="1">
      <alignment horizontal="right" vertical="center"/>
    </xf>
    <xf numFmtId="38" fontId="3" fillId="2" borderId="3" xfId="1" applyFont="1" applyFill="1" applyBorder="1" applyAlignment="1" applyProtection="1">
      <alignment horizontal="right" vertical="center"/>
    </xf>
    <xf numFmtId="38" fontId="3" fillId="2" borderId="5" xfId="1" applyFont="1" applyFill="1" applyBorder="1" applyAlignment="1" applyProtection="1">
      <alignment horizontal="right" vertical="center"/>
    </xf>
    <xf numFmtId="38" fontId="0" fillId="3" borderId="0" xfId="0" applyNumberFormat="1" applyFill="1" applyAlignment="1">
      <alignment horizontal="center" vertical="center"/>
    </xf>
    <xf numFmtId="38" fontId="3" fillId="2" borderId="1" xfId="0" applyNumberFormat="1" applyFont="1" applyFill="1" applyBorder="1" applyAlignment="1">
      <alignment horizontal="right" vertical="center" shrinkToFit="1"/>
    </xf>
    <xf numFmtId="0" fontId="3" fillId="2" borderId="1" xfId="0" applyFont="1" applyFill="1" applyBorder="1" applyAlignment="1">
      <alignment horizontal="right" vertical="center" shrinkToFit="1"/>
    </xf>
    <xf numFmtId="0" fontId="3" fillId="2" borderId="3" xfId="0" applyFont="1" applyFill="1" applyBorder="1" applyAlignment="1">
      <alignment horizontal="right" vertical="center" shrinkToFit="1"/>
    </xf>
    <xf numFmtId="38" fontId="6" fillId="3" borderId="14" xfId="1" applyFont="1" applyFill="1" applyBorder="1" applyAlignment="1" applyProtection="1">
      <alignment horizontal="center" vertical="center"/>
    </xf>
    <xf numFmtId="38" fontId="6" fillId="3" borderId="20" xfId="1" applyFont="1" applyFill="1" applyBorder="1" applyAlignment="1" applyProtection="1">
      <alignment horizontal="center" vertical="center"/>
    </xf>
    <xf numFmtId="0" fontId="0" fillId="3" borderId="72" xfId="0" applyFill="1" applyBorder="1" applyAlignment="1">
      <alignment horizontal="center" vertical="center"/>
    </xf>
    <xf numFmtId="0" fontId="0" fillId="3" borderId="73" xfId="0" applyFill="1" applyBorder="1" applyAlignment="1">
      <alignment horizontal="center" vertical="center"/>
    </xf>
    <xf numFmtId="0" fontId="0" fillId="3" borderId="87" xfId="0" applyFill="1" applyBorder="1" applyAlignment="1">
      <alignment horizontal="center" vertical="center"/>
    </xf>
    <xf numFmtId="38" fontId="0" fillId="6" borderId="72" xfId="0" applyNumberFormat="1" applyFill="1" applyBorder="1" applyAlignment="1">
      <alignment horizontal="right" vertical="center"/>
    </xf>
    <xf numFmtId="0" fontId="0" fillId="6" borderId="73" xfId="0" applyFill="1" applyBorder="1" applyAlignment="1">
      <alignment horizontal="right" vertical="center"/>
    </xf>
    <xf numFmtId="38" fontId="3" fillId="6" borderId="73" xfId="0" applyNumberFormat="1" applyFont="1" applyFill="1" applyBorder="1" applyAlignment="1">
      <alignment horizontal="right" vertical="center"/>
    </xf>
    <xf numFmtId="0" fontId="3" fillId="6" borderId="73" xfId="0" applyFont="1" applyFill="1" applyBorder="1" applyAlignment="1">
      <alignment horizontal="right" vertical="center"/>
    </xf>
    <xf numFmtId="0" fontId="0" fillId="3" borderId="86" xfId="0" applyFill="1" applyBorder="1" applyAlignment="1">
      <alignment horizontal="center" vertical="center"/>
    </xf>
    <xf numFmtId="38" fontId="3" fillId="6" borderId="73" xfId="0" applyNumberFormat="1" applyFont="1" applyFill="1" applyBorder="1" applyAlignment="1">
      <alignment horizontal="center" vertical="center"/>
    </xf>
    <xf numFmtId="38" fontId="0" fillId="2" borderId="56" xfId="1" applyFont="1" applyFill="1" applyBorder="1" applyAlignment="1" applyProtection="1">
      <alignment horizontal="center" vertical="center"/>
    </xf>
    <xf numFmtId="38" fontId="0" fillId="2" borderId="57" xfId="1" applyFont="1" applyFill="1" applyBorder="1" applyAlignment="1" applyProtection="1">
      <alignment horizontal="center" vertical="center"/>
    </xf>
    <xf numFmtId="38" fontId="0" fillId="2" borderId="60" xfId="1" applyFont="1" applyFill="1" applyBorder="1" applyAlignment="1" applyProtection="1">
      <alignment horizontal="center" vertical="center"/>
    </xf>
    <xf numFmtId="38" fontId="0" fillId="2" borderId="66" xfId="1" applyFont="1" applyFill="1" applyBorder="1" applyAlignment="1" applyProtection="1">
      <alignment horizontal="center" vertical="center"/>
    </xf>
    <xf numFmtId="38" fontId="0" fillId="2" borderId="62" xfId="1" applyFont="1" applyFill="1" applyBorder="1" applyAlignment="1" applyProtection="1">
      <alignment horizontal="center" vertical="center"/>
    </xf>
    <xf numFmtId="38" fontId="0" fillId="2" borderId="63" xfId="1" applyFont="1" applyFill="1" applyBorder="1" applyAlignment="1" applyProtection="1">
      <alignment horizontal="center" vertical="center"/>
    </xf>
    <xf numFmtId="38" fontId="0" fillId="5" borderId="91" xfId="1" applyFont="1" applyFill="1" applyBorder="1" applyAlignment="1" applyProtection="1">
      <alignment horizontal="center" vertical="center"/>
    </xf>
    <xf numFmtId="38" fontId="0" fillId="5" borderId="7" xfId="1" applyFont="1" applyFill="1" applyBorder="1" applyAlignment="1" applyProtection="1">
      <alignment horizontal="center" vertical="center"/>
    </xf>
    <xf numFmtId="38" fontId="0" fillId="5" borderId="8" xfId="1" applyFont="1" applyFill="1" applyBorder="1" applyAlignment="1" applyProtection="1">
      <alignment horizontal="center" vertical="center"/>
    </xf>
    <xf numFmtId="38" fontId="0" fillId="5" borderId="61" xfId="1" applyFont="1" applyFill="1" applyBorder="1" applyAlignment="1" applyProtection="1">
      <alignment horizontal="center" vertical="center"/>
    </xf>
    <xf numFmtId="38" fontId="0" fillId="5" borderId="14" xfId="1" applyFont="1" applyFill="1" applyBorder="1" applyAlignment="1" applyProtection="1">
      <alignment horizontal="center" vertical="center"/>
    </xf>
    <xf numFmtId="38" fontId="0" fillId="5" borderId="20" xfId="1" applyFont="1" applyFill="1" applyBorder="1" applyAlignment="1" applyProtection="1">
      <alignment horizontal="center" vertical="center"/>
    </xf>
    <xf numFmtId="38" fontId="0" fillId="5" borderId="7" xfId="1" applyFont="1" applyFill="1" applyBorder="1" applyAlignment="1" applyProtection="1">
      <alignment horizontal="right" vertical="center"/>
    </xf>
    <xf numFmtId="38" fontId="0" fillId="5" borderId="14" xfId="1" applyFont="1" applyFill="1" applyBorder="1" applyAlignment="1" applyProtection="1">
      <alignment horizontal="right" vertical="center"/>
    </xf>
    <xf numFmtId="38" fontId="0" fillId="5" borderId="7" xfId="1" applyFont="1" applyFill="1" applyBorder="1" applyAlignment="1" applyProtection="1">
      <alignment horizontal="left" vertical="center"/>
    </xf>
    <xf numFmtId="38" fontId="0" fillId="5" borderId="92" xfId="1" applyFont="1" applyFill="1" applyBorder="1" applyAlignment="1" applyProtection="1">
      <alignment horizontal="left" vertical="center"/>
    </xf>
    <xf numFmtId="38" fontId="0" fillId="5" borderId="14" xfId="1" applyFont="1" applyFill="1" applyBorder="1" applyAlignment="1" applyProtection="1">
      <alignment horizontal="left" vertical="center"/>
    </xf>
    <xf numFmtId="38" fontId="0" fillId="5" borderId="59" xfId="1" applyFont="1" applyFill="1" applyBorder="1" applyAlignment="1" applyProtection="1">
      <alignment horizontal="left" vertical="center"/>
    </xf>
    <xf numFmtId="38" fontId="0" fillId="5" borderId="15" xfId="1" applyFont="1" applyFill="1" applyBorder="1" applyAlignment="1" applyProtection="1">
      <alignment horizontal="center" vertical="center" shrinkToFit="1"/>
    </xf>
    <xf numFmtId="38" fontId="0" fillId="5" borderId="1" xfId="1" applyFont="1" applyFill="1" applyBorder="1" applyAlignment="1" applyProtection="1">
      <alignment horizontal="center" vertical="center" shrinkToFit="1"/>
    </xf>
    <xf numFmtId="38" fontId="0" fillId="2" borderId="1" xfId="1" applyFont="1" applyFill="1" applyBorder="1" applyAlignment="1" applyProtection="1">
      <alignment horizontal="center" vertical="center"/>
    </xf>
    <xf numFmtId="38" fontId="0" fillId="2" borderId="11" xfId="1" applyFont="1" applyFill="1" applyBorder="1" applyAlignment="1" applyProtection="1">
      <alignment horizontal="center" vertical="center"/>
    </xf>
    <xf numFmtId="38" fontId="0" fillId="2" borderId="3" xfId="1" applyFont="1" applyFill="1" applyBorder="1" applyAlignment="1" applyProtection="1">
      <alignment horizontal="center" vertical="center"/>
    </xf>
    <xf numFmtId="38" fontId="0" fillId="5" borderId="15" xfId="1" applyFont="1" applyFill="1" applyBorder="1" applyAlignment="1" applyProtection="1">
      <alignment horizontal="center" vertical="center"/>
    </xf>
    <xf numFmtId="38" fontId="0" fillId="5" borderId="1" xfId="1" applyFont="1" applyFill="1" applyBorder="1" applyAlignment="1" applyProtection="1">
      <alignment horizontal="center" vertical="center"/>
    </xf>
    <xf numFmtId="38" fontId="3" fillId="5" borderId="1" xfId="1" applyFont="1" applyFill="1" applyBorder="1" applyAlignment="1" applyProtection="1">
      <alignment horizontal="center" vertical="center"/>
    </xf>
    <xf numFmtId="38" fontId="0" fillId="4" borderId="0" xfId="1" applyFont="1" applyFill="1" applyBorder="1" applyAlignment="1" applyProtection="1">
      <alignment horizontal="left" vertical="center"/>
    </xf>
    <xf numFmtId="38" fontId="0" fillId="4" borderId="41" xfId="1" applyFont="1" applyFill="1" applyBorder="1" applyAlignment="1" applyProtection="1">
      <alignment horizontal="left" vertical="center"/>
    </xf>
    <xf numFmtId="38" fontId="0" fillId="4" borderId="45" xfId="1" applyFont="1" applyFill="1" applyBorder="1" applyAlignment="1" applyProtection="1">
      <alignment horizontal="left" vertical="center"/>
    </xf>
    <xf numFmtId="38" fontId="0" fillId="4" borderId="46" xfId="1" applyFont="1" applyFill="1" applyBorder="1" applyAlignment="1" applyProtection="1">
      <alignment horizontal="left" vertical="center"/>
    </xf>
    <xf numFmtId="38" fontId="0" fillId="2" borderId="15" xfId="1" applyFont="1" applyFill="1" applyBorder="1" applyAlignment="1" applyProtection="1">
      <alignment horizontal="center" vertical="center" textRotation="255"/>
    </xf>
    <xf numFmtId="38" fontId="0" fillId="2" borderId="1" xfId="1" applyFont="1" applyFill="1" applyBorder="1" applyAlignment="1" applyProtection="1">
      <alignment horizontal="center" vertical="center" textRotation="255"/>
    </xf>
    <xf numFmtId="38" fontId="0" fillId="2" borderId="70" xfId="1" applyFont="1" applyFill="1" applyBorder="1" applyAlignment="1" applyProtection="1">
      <alignment horizontal="center" vertical="center" textRotation="255"/>
    </xf>
    <xf numFmtId="38" fontId="0" fillId="2" borderId="71" xfId="1" applyFont="1" applyFill="1" applyBorder="1" applyAlignment="1" applyProtection="1">
      <alignment horizontal="center" vertical="center" textRotation="255"/>
    </xf>
    <xf numFmtId="38" fontId="0" fillId="5" borderId="66" xfId="1" applyFont="1" applyFill="1" applyBorder="1" applyAlignment="1" applyProtection="1">
      <alignment horizontal="center" vertical="center"/>
    </xf>
    <xf numFmtId="38" fontId="0" fillId="5" borderId="62" xfId="1" applyFont="1" applyFill="1" applyBorder="1" applyAlignment="1" applyProtection="1">
      <alignment horizontal="center" vertical="center"/>
    </xf>
    <xf numFmtId="38" fontId="3" fillId="5" borderId="62" xfId="1" applyFont="1" applyFill="1" applyBorder="1" applyAlignment="1" applyProtection="1">
      <alignment horizontal="center" vertical="center"/>
    </xf>
    <xf numFmtId="38" fontId="0" fillId="5" borderId="63" xfId="1" applyFont="1" applyFill="1" applyBorder="1" applyAlignment="1" applyProtection="1">
      <alignment horizontal="center" vertical="center"/>
    </xf>
    <xf numFmtId="38" fontId="0" fillId="4" borderId="15" xfId="1" applyFont="1" applyFill="1" applyBorder="1" applyAlignment="1" applyProtection="1">
      <alignment horizontal="center" vertical="center"/>
    </xf>
    <xf numFmtId="38" fontId="0" fillId="4" borderId="1" xfId="1" applyFont="1" applyFill="1" applyBorder="1" applyAlignment="1" applyProtection="1">
      <alignment horizontal="center" vertical="center"/>
    </xf>
    <xf numFmtId="38" fontId="0" fillId="2" borderId="64" xfId="1" applyFont="1" applyFill="1" applyBorder="1" applyAlignment="1" applyProtection="1">
      <alignment horizontal="center" vertical="center"/>
    </xf>
    <xf numFmtId="38" fontId="0" fillId="2" borderId="78" xfId="1" applyFont="1" applyFill="1" applyBorder="1" applyAlignment="1" applyProtection="1">
      <alignment horizontal="center" vertical="center"/>
    </xf>
    <xf numFmtId="38" fontId="0" fillId="10" borderId="15" xfId="1" applyFont="1" applyFill="1" applyBorder="1" applyAlignment="1" applyProtection="1">
      <alignment horizontal="center" vertical="center" shrinkToFit="1"/>
    </xf>
    <xf numFmtId="38" fontId="0" fillId="4" borderId="43" xfId="1" applyFont="1" applyFill="1" applyBorder="1" applyAlignment="1" applyProtection="1">
      <alignment horizontal="center" vertical="center"/>
    </xf>
    <xf numFmtId="38" fontId="0" fillId="4" borderId="0" xfId="1" applyFont="1" applyFill="1" applyBorder="1" applyAlignment="1" applyProtection="1">
      <alignment horizontal="center" vertical="center"/>
    </xf>
    <xf numFmtId="38" fontId="0" fillId="4" borderId="9" xfId="1" applyFont="1" applyFill="1" applyBorder="1" applyAlignment="1" applyProtection="1">
      <alignment horizontal="center" vertical="center"/>
    </xf>
    <xf numFmtId="38" fontId="0" fillId="4" borderId="44" xfId="1" applyFont="1" applyFill="1" applyBorder="1" applyAlignment="1" applyProtection="1">
      <alignment horizontal="center" vertical="center"/>
    </xf>
    <xf numFmtId="38" fontId="0" fillId="4" borderId="45" xfId="1" applyFont="1" applyFill="1" applyBorder="1" applyAlignment="1" applyProtection="1">
      <alignment horizontal="center" vertical="center"/>
    </xf>
    <xf numFmtId="38" fontId="0" fillId="4" borderId="93" xfId="1" applyFont="1" applyFill="1" applyBorder="1" applyAlignment="1" applyProtection="1">
      <alignment horizontal="center" vertical="center"/>
    </xf>
    <xf numFmtId="38" fontId="0" fillId="4" borderId="0" xfId="1" applyFont="1" applyFill="1" applyBorder="1" applyAlignment="1" applyProtection="1">
      <alignment horizontal="right" vertical="center"/>
    </xf>
    <xf numFmtId="38" fontId="0" fillId="4" borderId="45" xfId="1" applyFont="1" applyFill="1" applyBorder="1" applyAlignment="1" applyProtection="1">
      <alignment horizontal="right" vertical="center"/>
    </xf>
    <xf numFmtId="38" fontId="0" fillId="5" borderId="64" xfId="1" applyFont="1" applyFill="1" applyBorder="1" applyAlignment="1" applyProtection="1">
      <alignment horizontal="center" vertical="center"/>
    </xf>
    <xf numFmtId="38" fontId="3" fillId="4" borderId="1" xfId="1" applyFont="1" applyFill="1" applyBorder="1" applyAlignment="1" applyProtection="1">
      <alignment horizontal="center" vertical="center"/>
    </xf>
    <xf numFmtId="38" fontId="0" fillId="4" borderId="64" xfId="1" applyFont="1" applyFill="1" applyBorder="1" applyAlignment="1" applyProtection="1">
      <alignment horizontal="center" vertical="center"/>
    </xf>
    <xf numFmtId="38" fontId="0" fillId="2" borderId="71" xfId="1" applyFont="1" applyFill="1" applyBorder="1" applyAlignment="1" applyProtection="1">
      <alignment horizontal="center" vertical="center"/>
    </xf>
    <xf numFmtId="38" fontId="0" fillId="2" borderId="72" xfId="1" applyFont="1" applyFill="1" applyBorder="1" applyAlignment="1" applyProtection="1">
      <alignment horizontal="center" vertical="center"/>
    </xf>
    <xf numFmtId="38" fontId="0" fillId="4" borderId="70" xfId="1" applyFont="1" applyFill="1" applyBorder="1" applyAlignment="1" applyProtection="1">
      <alignment horizontal="center" vertical="center"/>
    </xf>
    <xf numFmtId="38" fontId="0" fillId="4" borderId="71" xfId="1" applyFont="1" applyFill="1" applyBorder="1" applyAlignment="1" applyProtection="1">
      <alignment horizontal="center" vertical="center"/>
    </xf>
    <xf numFmtId="38" fontId="0" fillId="4" borderId="77" xfId="1" applyFont="1" applyFill="1" applyBorder="1" applyAlignment="1" applyProtection="1">
      <alignment horizontal="center" vertical="center"/>
    </xf>
    <xf numFmtId="38" fontId="3" fillId="5" borderId="64" xfId="1" applyFont="1" applyFill="1" applyBorder="1" applyAlignment="1" applyProtection="1">
      <alignment horizontal="center" vertical="center"/>
    </xf>
    <xf numFmtId="38" fontId="3" fillId="4" borderId="64" xfId="1" applyFont="1" applyFill="1" applyBorder="1" applyAlignment="1" applyProtection="1">
      <alignment horizontal="center" vertical="center"/>
    </xf>
    <xf numFmtId="38" fontId="20" fillId="2" borderId="26" xfId="1" applyFont="1" applyFill="1" applyBorder="1" applyAlignment="1" applyProtection="1">
      <alignment horizontal="center" vertical="center"/>
    </xf>
    <xf numFmtId="38" fontId="20" fillId="2" borderId="1" xfId="1" applyFont="1" applyFill="1" applyBorder="1" applyAlignment="1" applyProtection="1">
      <alignment horizontal="center" vertical="center"/>
    </xf>
    <xf numFmtId="38" fontId="6" fillId="2" borderId="1" xfId="1" applyFont="1" applyFill="1" applyBorder="1" applyAlignment="1" applyProtection="1">
      <alignment horizontal="right" vertical="center"/>
    </xf>
    <xf numFmtId="38" fontId="6" fillId="2" borderId="3" xfId="1" applyFont="1" applyFill="1" applyBorder="1" applyAlignment="1" applyProtection="1">
      <alignment horizontal="right" vertical="center"/>
    </xf>
    <xf numFmtId="38" fontId="6" fillId="6" borderId="68" xfId="1" applyFont="1" applyFill="1" applyBorder="1" applyAlignment="1" applyProtection="1">
      <alignment horizontal="right" vertical="center"/>
    </xf>
    <xf numFmtId="38" fontId="11" fillId="6" borderId="69" xfId="1" applyFont="1" applyFill="1" applyBorder="1" applyAlignment="1" applyProtection="1">
      <alignment horizontal="center" vertical="center" shrinkToFit="1"/>
    </xf>
    <xf numFmtId="38" fontId="6" fillId="6" borderId="5" xfId="1" applyFont="1" applyFill="1" applyBorder="1" applyAlignment="1" applyProtection="1">
      <alignment horizontal="right" vertical="center"/>
    </xf>
    <xf numFmtId="0" fontId="0" fillId="5" borderId="21" xfId="0" applyFill="1" applyBorder="1" applyAlignment="1">
      <alignment horizontal="center" vertical="center"/>
    </xf>
    <xf numFmtId="38" fontId="6" fillId="6" borderId="73" xfId="1" applyFont="1" applyFill="1" applyBorder="1" applyAlignment="1" applyProtection="1">
      <alignment horizontal="right" vertical="center"/>
    </xf>
    <xf numFmtId="38" fontId="11" fillId="6" borderId="74" xfId="1" applyFont="1" applyFill="1" applyBorder="1" applyAlignment="1" applyProtection="1">
      <alignment horizontal="center" vertical="center" shrinkToFit="1"/>
    </xf>
    <xf numFmtId="38" fontId="20" fillId="2" borderId="28" xfId="1" applyFont="1" applyFill="1" applyBorder="1" applyAlignment="1" applyProtection="1">
      <alignment horizontal="center" vertical="center"/>
    </xf>
    <xf numFmtId="38" fontId="20" fillId="2" borderId="29" xfId="1" applyFont="1" applyFill="1" applyBorder="1" applyAlignment="1" applyProtection="1">
      <alignment horizontal="center" vertical="center"/>
    </xf>
    <xf numFmtId="38" fontId="3" fillId="6" borderId="40" xfId="1" applyFont="1" applyFill="1" applyBorder="1" applyAlignment="1" applyProtection="1">
      <alignment horizontal="left" vertical="center" shrinkToFit="1"/>
    </xf>
    <xf numFmtId="38" fontId="3" fillId="6" borderId="39" xfId="1" applyFont="1" applyFill="1" applyBorder="1" applyAlignment="1" applyProtection="1">
      <alignment horizontal="left" vertical="center" shrinkToFit="1"/>
    </xf>
    <xf numFmtId="0" fontId="0" fillId="3" borderId="16" xfId="0" applyFill="1" applyBorder="1" applyAlignment="1">
      <alignment horizontal="center" vertical="center"/>
    </xf>
    <xf numFmtId="38" fontId="11" fillId="6" borderId="5" xfId="1" applyFont="1" applyFill="1" applyBorder="1" applyAlignment="1" applyProtection="1">
      <alignment horizontal="center" vertical="center" shrinkToFit="1"/>
    </xf>
    <xf numFmtId="38" fontId="6" fillId="8" borderId="152" xfId="1" applyFont="1" applyFill="1" applyBorder="1" applyAlignment="1" applyProtection="1">
      <alignment horizontal="right" vertical="center"/>
    </xf>
    <xf numFmtId="38" fontId="6" fillId="8" borderId="153" xfId="1" applyFont="1" applyFill="1" applyBorder="1" applyAlignment="1" applyProtection="1">
      <alignment horizontal="right" vertical="center"/>
    </xf>
    <xf numFmtId="38" fontId="11" fillId="6" borderId="16" xfId="1" applyFont="1" applyFill="1" applyBorder="1" applyAlignment="1" applyProtection="1">
      <alignment horizontal="center" vertical="center" shrinkToFit="1"/>
    </xf>
    <xf numFmtId="38" fontId="3" fillId="2" borderId="96" xfId="1" applyFont="1" applyFill="1" applyBorder="1" applyAlignment="1" applyProtection="1">
      <alignment horizontal="right" vertical="center" shrinkToFit="1"/>
    </xf>
    <xf numFmtId="38" fontId="3" fillId="2" borderId="95" xfId="1" applyFont="1" applyFill="1" applyBorder="1" applyAlignment="1" applyProtection="1">
      <alignment horizontal="right" vertical="center" shrinkToFit="1"/>
    </xf>
    <xf numFmtId="0" fontId="40" fillId="0" borderId="40" xfId="0" applyFont="1" applyBorder="1" applyAlignment="1">
      <alignment horizontal="center" vertical="center" shrinkToFit="1"/>
    </xf>
    <xf numFmtId="0" fontId="40" fillId="0" borderId="39" xfId="0" applyFont="1" applyBorder="1" applyAlignment="1">
      <alignment horizontal="center" vertical="center" shrinkToFit="1"/>
    </xf>
    <xf numFmtId="0" fontId="0" fillId="16" borderId="163" xfId="0" applyFill="1" applyBorder="1" applyAlignment="1">
      <alignment horizontal="center" vertical="center"/>
    </xf>
    <xf numFmtId="0" fontId="0" fillId="16" borderId="162" xfId="0" applyFill="1" applyBorder="1" applyAlignment="1">
      <alignment horizontal="center" vertical="center"/>
    </xf>
    <xf numFmtId="0" fontId="0" fillId="13" borderId="164" xfId="0" applyFill="1" applyBorder="1" applyAlignment="1">
      <alignment horizontal="center" vertical="center"/>
    </xf>
    <xf numFmtId="0" fontId="0" fillId="13" borderId="163" xfId="0" applyFill="1" applyBorder="1" applyAlignment="1">
      <alignment horizontal="center" vertical="center"/>
    </xf>
    <xf numFmtId="0" fontId="0" fillId="13" borderId="162" xfId="0" applyFill="1" applyBorder="1" applyAlignment="1">
      <alignment horizontal="center" vertical="center"/>
    </xf>
    <xf numFmtId="0" fontId="0" fillId="2" borderId="53" xfId="0" applyFill="1" applyBorder="1" applyAlignment="1">
      <alignment horizontal="center" vertical="center"/>
    </xf>
    <xf numFmtId="0" fontId="0" fillId="2" borderId="52" xfId="0" applyFill="1" applyBorder="1" applyAlignment="1">
      <alignment horizontal="center" vertical="center"/>
    </xf>
    <xf numFmtId="0" fontId="0" fillId="2" borderId="54" xfId="0" applyFill="1" applyBorder="1" applyAlignment="1">
      <alignment horizontal="center" vertical="center"/>
    </xf>
    <xf numFmtId="0" fontId="0" fillId="2" borderId="47" xfId="0" applyFill="1" applyBorder="1" applyAlignment="1">
      <alignment horizontal="center" vertical="center"/>
    </xf>
    <xf numFmtId="0" fontId="0" fillId="2" borderId="0" xfId="0" applyFill="1" applyAlignment="1">
      <alignment horizontal="center" vertical="center"/>
    </xf>
    <xf numFmtId="0" fontId="0" fillId="2" borderId="76" xfId="0" applyFill="1" applyBorder="1" applyAlignment="1">
      <alignment horizontal="center" vertical="center"/>
    </xf>
    <xf numFmtId="0" fontId="0" fillId="2" borderId="169" xfId="0" applyFill="1" applyBorder="1" applyAlignment="1">
      <alignment horizontal="center" vertical="center"/>
    </xf>
    <xf numFmtId="0" fontId="0" fillId="2" borderId="166" xfId="0" applyFill="1" applyBorder="1" applyAlignment="1">
      <alignment horizontal="center" vertical="center"/>
    </xf>
    <xf numFmtId="0" fontId="0" fillId="2" borderId="165" xfId="0" applyFill="1" applyBorder="1" applyAlignment="1">
      <alignment horizontal="center" vertical="center"/>
    </xf>
    <xf numFmtId="0" fontId="0" fillId="10" borderId="164" xfId="0" applyFill="1" applyBorder="1" applyAlignment="1">
      <alignment horizontal="center" vertical="center"/>
    </xf>
    <xf numFmtId="0" fontId="0" fillId="10" borderId="163" xfId="0" applyFill="1" applyBorder="1" applyAlignment="1">
      <alignment horizontal="center" vertical="center"/>
    </xf>
    <xf numFmtId="0" fontId="0" fillId="10" borderId="162" xfId="0" applyFill="1" applyBorder="1" applyAlignment="1">
      <alignment horizontal="center" vertical="center"/>
    </xf>
    <xf numFmtId="0" fontId="0" fillId="13" borderId="86" xfId="0" applyFill="1" applyBorder="1" applyAlignment="1">
      <alignment horizontal="left" vertical="center"/>
    </xf>
    <xf numFmtId="0" fontId="0" fillId="13" borderId="73" xfId="0" applyFill="1" applyBorder="1" applyAlignment="1">
      <alignment horizontal="left" vertical="center"/>
    </xf>
    <xf numFmtId="0" fontId="0" fillId="13" borderId="74" xfId="0" applyFill="1" applyBorder="1" applyAlignment="1">
      <alignment horizontal="left" vertical="center"/>
    </xf>
    <xf numFmtId="0" fontId="0" fillId="0" borderId="75" xfId="0" applyBorder="1" applyAlignment="1">
      <alignment horizontal="left" vertical="center"/>
    </xf>
    <xf numFmtId="0" fontId="0" fillId="0" borderId="68" xfId="0" applyBorder="1" applyAlignment="1">
      <alignment horizontal="left" vertical="center"/>
    </xf>
    <xf numFmtId="0" fontId="0" fillId="0" borderId="69" xfId="0" applyBorder="1" applyAlignment="1">
      <alignment horizontal="left" vertical="center"/>
    </xf>
    <xf numFmtId="0" fontId="0" fillId="13" borderId="65" xfId="0" applyFill="1" applyBorder="1" applyAlignment="1">
      <alignment horizontal="left" vertical="center"/>
    </xf>
    <xf numFmtId="0" fontId="0" fillId="13" borderId="5" xfId="0" applyFill="1" applyBorder="1" applyAlignment="1">
      <alignment horizontal="left" vertical="center"/>
    </xf>
    <xf numFmtId="0" fontId="0" fillId="13" borderId="16" xfId="0" applyFill="1" applyBorder="1" applyAlignment="1">
      <alignment horizontal="left" vertical="center"/>
    </xf>
    <xf numFmtId="0" fontId="0" fillId="0" borderId="65" xfId="0" applyBorder="1" applyAlignment="1">
      <alignment horizontal="left" vertical="center"/>
    </xf>
    <xf numFmtId="0" fontId="0" fillId="0" borderId="5" xfId="0" applyBorder="1" applyAlignment="1">
      <alignment horizontal="left" vertical="center"/>
    </xf>
    <xf numFmtId="0" fontId="0" fillId="0" borderId="16" xfId="0" applyBorder="1" applyAlignment="1">
      <alignment horizontal="left" vertical="center"/>
    </xf>
    <xf numFmtId="0" fontId="0" fillId="0" borderId="67" xfId="0" applyBorder="1" applyAlignment="1">
      <alignment horizontal="left" vertical="center"/>
    </xf>
    <xf numFmtId="0" fontId="0" fillId="0" borderId="85" xfId="0" applyBorder="1" applyAlignment="1">
      <alignment horizontal="left" vertical="center"/>
    </xf>
    <xf numFmtId="0" fontId="0" fillId="13" borderId="72" xfId="0" applyFill="1" applyBorder="1" applyAlignment="1">
      <alignment horizontal="left" vertical="center"/>
    </xf>
    <xf numFmtId="0" fontId="0" fillId="13" borderId="87" xfId="0" applyFill="1"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17" borderId="53" xfId="0" applyFill="1" applyBorder="1" applyAlignment="1">
      <alignment horizontal="center" vertical="center"/>
    </xf>
    <xf numFmtId="0" fontId="0" fillId="17" borderId="52" xfId="0" applyFill="1" applyBorder="1" applyAlignment="1">
      <alignment horizontal="center" vertical="center"/>
    </xf>
    <xf numFmtId="0" fontId="0" fillId="17" borderId="54" xfId="0" applyFill="1" applyBorder="1" applyAlignment="1">
      <alignment horizontal="center" vertical="center"/>
    </xf>
    <xf numFmtId="0" fontId="0" fillId="17" borderId="169" xfId="0" applyFill="1" applyBorder="1" applyAlignment="1">
      <alignment horizontal="center" vertical="center"/>
    </xf>
    <xf numFmtId="0" fontId="0" fillId="17" borderId="166" xfId="0" applyFill="1" applyBorder="1" applyAlignment="1">
      <alignment horizontal="center" vertical="center"/>
    </xf>
    <xf numFmtId="0" fontId="0" fillId="17" borderId="165" xfId="0" applyFill="1" applyBorder="1" applyAlignment="1">
      <alignment horizontal="center" vertical="center"/>
    </xf>
    <xf numFmtId="0" fontId="0" fillId="13" borderId="3" xfId="0" applyFill="1" applyBorder="1" applyAlignment="1">
      <alignment horizontal="left" vertical="center"/>
    </xf>
    <xf numFmtId="0" fontId="0" fillId="13" borderId="2" xfId="0" applyFill="1" applyBorder="1" applyAlignment="1">
      <alignment horizontal="left" vertical="center"/>
    </xf>
    <xf numFmtId="3" fontId="0" fillId="13" borderId="65" xfId="0" applyNumberFormat="1" applyFill="1" applyBorder="1" applyAlignment="1">
      <alignment horizontal="left" vertical="center"/>
    </xf>
    <xf numFmtId="3" fontId="0" fillId="13" borderId="5" xfId="0" applyNumberFormat="1" applyFill="1" applyBorder="1" applyAlignment="1">
      <alignment horizontal="left" vertical="center"/>
    </xf>
    <xf numFmtId="3" fontId="0" fillId="13" borderId="2" xfId="0" applyNumberFormat="1" applyFill="1" applyBorder="1" applyAlignment="1">
      <alignment horizontal="left" vertical="center"/>
    </xf>
    <xf numFmtId="3" fontId="0" fillId="0" borderId="65" xfId="0" applyNumberFormat="1" applyBorder="1" applyAlignment="1">
      <alignment horizontal="left" vertical="center"/>
    </xf>
    <xf numFmtId="3" fontId="0" fillId="0" borderId="5" xfId="0" applyNumberFormat="1" applyBorder="1" applyAlignment="1">
      <alignment horizontal="left" vertical="center"/>
    </xf>
    <xf numFmtId="3" fontId="0" fillId="0" borderId="2" xfId="0" applyNumberFormat="1" applyBorder="1" applyAlignment="1">
      <alignment horizontal="left" vertical="center"/>
    </xf>
    <xf numFmtId="0" fontId="0" fillId="17" borderId="47" xfId="0" applyFill="1" applyBorder="1" applyAlignment="1">
      <alignment horizontal="center" vertical="center"/>
    </xf>
    <xf numFmtId="0" fontId="0" fillId="17" borderId="0" xfId="0" applyFill="1" applyAlignment="1">
      <alignment horizontal="center" vertical="center"/>
    </xf>
    <xf numFmtId="0" fontId="0" fillId="17" borderId="9" xfId="0" applyFill="1" applyBorder="1" applyAlignment="1">
      <alignment horizontal="center" vertical="center"/>
    </xf>
    <xf numFmtId="0" fontId="0" fillId="17" borderId="168" xfId="0" applyFill="1" applyBorder="1" applyAlignment="1">
      <alignment horizontal="center" vertical="center"/>
    </xf>
    <xf numFmtId="0" fontId="0" fillId="17" borderId="12" xfId="0" applyFill="1" applyBorder="1" applyAlignment="1">
      <alignment horizontal="center" vertical="center"/>
    </xf>
    <xf numFmtId="0" fontId="0" fillId="17" borderId="167" xfId="0" applyFill="1" applyBorder="1" applyAlignment="1">
      <alignment horizontal="center" vertical="center"/>
    </xf>
    <xf numFmtId="0" fontId="0" fillId="17" borderId="76" xfId="0" applyFill="1" applyBorder="1" applyAlignment="1">
      <alignment horizontal="center" vertical="center"/>
    </xf>
    <xf numFmtId="0" fontId="3" fillId="0" borderId="0" xfId="0" applyFont="1" applyAlignment="1">
      <alignment horizontal="right" vertical="center"/>
    </xf>
    <xf numFmtId="0" fontId="3" fillId="12" borderId="140" xfId="0" applyFont="1" applyFill="1" applyBorder="1" applyAlignment="1">
      <alignment horizontal="center" vertical="center" textRotation="255" shrinkToFit="1"/>
    </xf>
    <xf numFmtId="0" fontId="3" fillId="12" borderId="139" xfId="0" applyFont="1" applyFill="1" applyBorder="1" applyAlignment="1">
      <alignment horizontal="center" vertical="center" textRotation="255" shrinkToFit="1"/>
    </xf>
    <xf numFmtId="0" fontId="3" fillId="12" borderId="138" xfId="0" applyFont="1" applyFill="1" applyBorder="1" applyAlignment="1">
      <alignment horizontal="center" vertical="center" textRotation="255" shrinkToFit="1"/>
    </xf>
    <xf numFmtId="0" fontId="0" fillId="0" borderId="159" xfId="0" applyBorder="1" applyAlignment="1">
      <alignment horizontal="center" vertical="center" textRotation="255" wrapText="1"/>
    </xf>
    <xf numFmtId="0" fontId="0" fillId="0" borderId="159" xfId="0" applyBorder="1" applyAlignment="1">
      <alignment horizontal="center" vertical="center" textRotation="255"/>
    </xf>
    <xf numFmtId="0" fontId="0" fillId="0" borderId="161" xfId="0" applyBorder="1" applyAlignment="1">
      <alignment horizontal="center" vertical="center" textRotation="255"/>
    </xf>
  </cellXfs>
  <cellStyles count="3">
    <cellStyle name="桁区切り" xfId="1" builtinId="6"/>
    <cellStyle name="標準" xfId="0" builtinId="0"/>
    <cellStyle name="標準 2" xfId="2" xr:uid="{684B0DC1-7750-4624-BB57-CC4454642BF9}"/>
  </cellStyles>
  <dxfs count="0"/>
  <tableStyles count="0" defaultTableStyle="TableStyleMedium2" defaultPivotStyle="PivotStyleLight16"/>
  <colors>
    <mruColors>
      <color rgb="FFE2EFDA"/>
      <color rgb="FF000000"/>
      <color rgb="FFDDEBF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152399</xdr:colOff>
      <xdr:row>0</xdr:row>
      <xdr:rowOff>161925</xdr:rowOff>
    </xdr:from>
    <xdr:ext cx="5924551" cy="8420100"/>
    <xdr:pic>
      <xdr:nvPicPr>
        <xdr:cNvPr id="2" name="図 1">
          <a:extLst>
            <a:ext uri="{FF2B5EF4-FFF2-40B4-BE49-F238E27FC236}">
              <a16:creationId xmlns:a16="http://schemas.microsoft.com/office/drawing/2014/main" id="{E2692797-7C2A-4FDA-8C02-9BA18AC236E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88" t="1886" r="778"/>
        <a:stretch/>
      </xdr:blipFill>
      <xdr:spPr bwMode="auto">
        <a:xfrm>
          <a:off x="152399" y="161925"/>
          <a:ext cx="5924551" cy="84201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552450</xdr:colOff>
      <xdr:row>7</xdr:row>
      <xdr:rowOff>133350</xdr:rowOff>
    </xdr:from>
    <xdr:to>
      <xdr:col>5</xdr:col>
      <xdr:colOff>466725</xdr:colOff>
      <xdr:row>11</xdr:row>
      <xdr:rowOff>123825</xdr:rowOff>
    </xdr:to>
    <xdr:sp macro="" textlink="">
      <xdr:nvSpPr>
        <xdr:cNvPr id="3" name="角丸四角形 2">
          <a:extLst>
            <a:ext uri="{FF2B5EF4-FFF2-40B4-BE49-F238E27FC236}">
              <a16:creationId xmlns:a16="http://schemas.microsoft.com/office/drawing/2014/main" id="{86844702-C3D9-441A-A5DE-ECA959273057}"/>
            </a:ext>
          </a:extLst>
        </xdr:cNvPr>
        <xdr:cNvSpPr/>
      </xdr:nvSpPr>
      <xdr:spPr>
        <a:xfrm>
          <a:off x="2609850" y="1333500"/>
          <a:ext cx="1285875" cy="676275"/>
        </a:xfrm>
        <a:prstGeom prst="round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342900</xdr:colOff>
      <xdr:row>12</xdr:row>
      <xdr:rowOff>104776</xdr:rowOff>
    </xdr:from>
    <xdr:to>
      <xdr:col>4</xdr:col>
      <xdr:colOff>257175</xdr:colOff>
      <xdr:row>15</xdr:row>
      <xdr:rowOff>104775</xdr:rowOff>
    </xdr:to>
    <xdr:sp macro="" textlink="">
      <xdr:nvSpPr>
        <xdr:cNvPr id="4" name="テキスト ボックス 3">
          <a:extLst>
            <a:ext uri="{FF2B5EF4-FFF2-40B4-BE49-F238E27FC236}">
              <a16:creationId xmlns:a16="http://schemas.microsoft.com/office/drawing/2014/main" id="{11AE207B-79B4-4251-A2AA-37B80CE1CBCE}"/>
            </a:ext>
          </a:extLst>
        </xdr:cNvPr>
        <xdr:cNvSpPr txBox="1"/>
      </xdr:nvSpPr>
      <xdr:spPr>
        <a:xfrm>
          <a:off x="1028700" y="2162176"/>
          <a:ext cx="1971675" cy="514349"/>
        </a:xfrm>
        <a:prstGeom prst="wedgeRoundRectCallout">
          <a:avLst>
            <a:gd name="adj1" fmla="val 60326"/>
            <a:gd name="adj2" fmla="val -49695"/>
            <a:gd name="adj3" fmla="val 16667"/>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枠内金額＝給与所得控除後の金額</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xdr:colOff>
      <xdr:row>20</xdr:row>
      <xdr:rowOff>28864</xdr:rowOff>
    </xdr:from>
    <xdr:ext cx="9449722" cy="6054063"/>
    <xdr:pic>
      <xdr:nvPicPr>
        <xdr:cNvPr id="3" name="図 2">
          <a:extLst>
            <a:ext uri="{FF2B5EF4-FFF2-40B4-BE49-F238E27FC236}">
              <a16:creationId xmlns:a16="http://schemas.microsoft.com/office/drawing/2014/main" id="{37E7170D-309B-48FB-8154-8734E1FE7C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3457864"/>
          <a:ext cx="9449722" cy="605406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oneCellAnchor>
  <xdr:twoCellAnchor>
    <xdr:from>
      <xdr:col>3</xdr:col>
      <xdr:colOff>427182</xdr:colOff>
      <xdr:row>28</xdr:row>
      <xdr:rowOff>43297</xdr:rowOff>
    </xdr:from>
    <xdr:to>
      <xdr:col>8</xdr:col>
      <xdr:colOff>508000</xdr:colOff>
      <xdr:row>36</xdr:row>
      <xdr:rowOff>115455</xdr:rowOff>
    </xdr:to>
    <xdr:sp macro="" textlink="">
      <xdr:nvSpPr>
        <xdr:cNvPr id="4" name="角丸四角形 2">
          <a:extLst>
            <a:ext uri="{FF2B5EF4-FFF2-40B4-BE49-F238E27FC236}">
              <a16:creationId xmlns:a16="http://schemas.microsoft.com/office/drawing/2014/main" id="{AB4E65B4-1BC5-4CCA-B584-73B0884A381F}"/>
            </a:ext>
          </a:extLst>
        </xdr:cNvPr>
        <xdr:cNvSpPr/>
      </xdr:nvSpPr>
      <xdr:spPr>
        <a:xfrm>
          <a:off x="2484582" y="4843897"/>
          <a:ext cx="3509818" cy="1443758"/>
        </a:xfrm>
        <a:prstGeom prst="round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381000</xdr:colOff>
      <xdr:row>47</xdr:row>
      <xdr:rowOff>81643</xdr:rowOff>
    </xdr:from>
    <xdr:to>
      <xdr:col>13</xdr:col>
      <xdr:colOff>110066</xdr:colOff>
      <xdr:row>54</xdr:row>
      <xdr:rowOff>16932</xdr:rowOff>
    </xdr:to>
    <xdr:sp macro="" textlink="">
      <xdr:nvSpPr>
        <xdr:cNvPr id="5" name="テキスト ボックス 4">
          <a:extLst>
            <a:ext uri="{FF2B5EF4-FFF2-40B4-BE49-F238E27FC236}">
              <a16:creationId xmlns:a16="http://schemas.microsoft.com/office/drawing/2014/main" id="{218E0C48-C6D0-4232-B36B-6189F9A6E119}"/>
            </a:ext>
          </a:extLst>
        </xdr:cNvPr>
        <xdr:cNvSpPr txBox="1"/>
      </xdr:nvSpPr>
      <xdr:spPr>
        <a:xfrm>
          <a:off x="381000" y="8139793"/>
          <a:ext cx="8644466" cy="1135439"/>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400000000000000" pitchFamily="34" charset="-128"/>
              <a:ea typeface="HG丸ｺﾞｼｯｸM-PRO" panose="020F0400000000000000" pitchFamily="34" charset="-128"/>
            </a:rPr>
            <a:t>公的年金等の所得は雑所得という所得に区分されます。</a:t>
          </a:r>
          <a:endParaRPr kumimoji="1" lang="en-US" altLang="ja-JP" sz="1400">
            <a:latin typeface="HG丸ｺﾞｼｯｸM-PRO" panose="020F0400000000000000" pitchFamily="34" charset="-128"/>
            <a:ea typeface="HG丸ｺﾞｼｯｸM-PRO" panose="020F0400000000000000" pitchFamily="34" charset="-128"/>
          </a:endParaRPr>
        </a:p>
        <a:p>
          <a:r>
            <a:rPr kumimoji="1" lang="ja-JP" altLang="en-US" sz="1400">
              <a:latin typeface="HG丸ｺﾞｼｯｸM-PRO" panose="020F0400000000000000" pitchFamily="34" charset="-128"/>
              <a:ea typeface="HG丸ｺﾞｼｯｸM-PRO" panose="020F0400000000000000" pitchFamily="34" charset="-128"/>
            </a:rPr>
            <a:t>枠内支払金額合計が公的年金等収入になるため、上の表を参考に、</a:t>
          </a:r>
          <a:r>
            <a:rPr kumimoji="1" lang="ja-JP" altLang="en-US" sz="1400" b="0" i="0" u="none" strike="noStrike" kern="0" cap="none" spc="0" normalizeH="0" baseline="0" noProof="0">
              <a:ln>
                <a:noFill/>
              </a:ln>
              <a:solidFill>
                <a:prstClr val="black"/>
              </a:solidFill>
              <a:effectLst/>
              <a:uLnTx/>
              <a:uFillTx/>
              <a:latin typeface="HG丸ｺﾞｼｯｸM-PRO" panose="020F0400000000000000" pitchFamily="34" charset="-128"/>
              <a:ea typeface="HG丸ｺﾞｼｯｸM-PRO" panose="020F0400000000000000" pitchFamily="34" charset="-128"/>
              <a:cs typeface="+mn-cs"/>
            </a:rPr>
            <a:t>収入から</a:t>
          </a:r>
          <a:r>
            <a:rPr kumimoji="1" lang="ja-JP" altLang="en-US" sz="1400">
              <a:latin typeface="HG丸ｺﾞｼｯｸM-PRO" panose="020F0400000000000000" pitchFamily="34" charset="-128"/>
              <a:ea typeface="HG丸ｺﾞｼｯｸM-PRO" panose="020F0400000000000000" pitchFamily="34" charset="-128"/>
            </a:rPr>
            <a:t>所得を算出してください。</a:t>
          </a:r>
          <a:endParaRPr kumimoji="1" lang="en-US" altLang="ja-JP" sz="1400">
            <a:latin typeface="HG丸ｺﾞｼｯｸM-PRO" panose="020F0400000000000000" pitchFamily="34" charset="-128"/>
            <a:ea typeface="HG丸ｺﾞｼｯｸM-PRO" panose="020F0400000000000000" pitchFamily="34" charset="-128"/>
          </a:endParaRPr>
        </a:p>
        <a:p>
          <a:r>
            <a:rPr kumimoji="1" lang="en-US" altLang="ja-JP" sz="1400" b="0" i="0">
              <a:solidFill>
                <a:srgbClr val="000000"/>
              </a:solidFill>
              <a:effectLst/>
              <a:latin typeface="HG丸ｺﾞｼｯｸM-PRO" panose="020F0400000000000000" pitchFamily="34" charset="-128"/>
              <a:ea typeface="HG丸ｺﾞｼｯｸM-PRO" panose="020F0400000000000000" pitchFamily="34" charset="-128"/>
            </a:rPr>
            <a:t>※</a:t>
          </a:r>
          <a:r>
            <a:rPr kumimoji="1" lang="ja-JP" altLang="en-US" sz="1400" b="0" i="0">
              <a:solidFill>
                <a:srgbClr val="000000"/>
              </a:solidFill>
              <a:effectLst/>
              <a:latin typeface="HG丸ｺﾞｼｯｸM-PRO" panose="020F0400000000000000" pitchFamily="34" charset="-128"/>
              <a:ea typeface="HG丸ｺﾞｼｯｸM-PRO" panose="020F0400000000000000" pitchFamily="34" charset="-128"/>
            </a:rPr>
            <a:t>遺族年金、障害年金、老齢福祉年金等の非課税所得は、国保の総所得金額等に含みません。</a:t>
          </a:r>
          <a:endParaRPr lang="ja-JP" altLang="en-US" sz="1400" b="0" i="0">
            <a:solidFill>
              <a:srgbClr val="000000"/>
            </a:solidFill>
            <a:effectLst/>
            <a:latin typeface="Meiryo" panose="020B0604030504040204" pitchFamily="50" charset="-128"/>
            <a:ea typeface="Meiryo" panose="020B0604030504040204" pitchFamily="50" charset="-128"/>
          </a:endParaRPr>
        </a:p>
        <a:p>
          <a:endParaRPr kumimoji="1" lang="ja-JP" altLang="en-US" sz="1200">
            <a:latin typeface="HG丸ｺﾞｼｯｸM-PRO" panose="020F0400000000000000" pitchFamily="34" charset="-128"/>
            <a:ea typeface="HG丸ｺﾞｼｯｸM-PRO" panose="020F0400000000000000" pitchFamily="34"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46182</xdr:rowOff>
    </xdr:from>
    <xdr:ext cx="11655056" cy="15655636"/>
    <xdr:pic>
      <xdr:nvPicPr>
        <xdr:cNvPr id="2" name="図 1">
          <a:extLst>
            <a:ext uri="{FF2B5EF4-FFF2-40B4-BE49-F238E27FC236}">
              <a16:creationId xmlns:a16="http://schemas.microsoft.com/office/drawing/2014/main" id="{56EAAF91-B0CF-4BD4-8CEA-7C33CE6CD1D0}"/>
            </a:ext>
          </a:extLst>
        </xdr:cNvPr>
        <xdr:cNvPicPr>
          <a:picLocks noChangeAspect="1"/>
        </xdr:cNvPicPr>
      </xdr:nvPicPr>
      <xdr:blipFill>
        <a:blip xmlns:r="http://schemas.openxmlformats.org/officeDocument/2006/relationships" r:embed="rId1"/>
        <a:stretch>
          <a:fillRect/>
        </a:stretch>
      </xdr:blipFill>
      <xdr:spPr>
        <a:xfrm>
          <a:off x="0" y="219364"/>
          <a:ext cx="11655056" cy="15655636"/>
        </a:xfrm>
        <a:prstGeom prst="rect">
          <a:avLst/>
        </a:prstGeom>
      </xdr:spPr>
    </xdr:pic>
    <xdr:clientData/>
  </xdr:oneCellAnchor>
  <xdr:twoCellAnchor>
    <xdr:from>
      <xdr:col>0</xdr:col>
      <xdr:colOff>501650</xdr:colOff>
      <xdr:row>58</xdr:row>
      <xdr:rowOff>1444</xdr:rowOff>
    </xdr:from>
    <xdr:to>
      <xdr:col>8</xdr:col>
      <xdr:colOff>511175</xdr:colOff>
      <xdr:row>62</xdr:row>
      <xdr:rowOff>37523</xdr:rowOff>
    </xdr:to>
    <xdr:sp macro="" textlink="">
      <xdr:nvSpPr>
        <xdr:cNvPr id="3" name="角丸四角形 7">
          <a:extLst>
            <a:ext uri="{FF2B5EF4-FFF2-40B4-BE49-F238E27FC236}">
              <a16:creationId xmlns:a16="http://schemas.microsoft.com/office/drawing/2014/main" id="{7862E893-C469-4A6C-B45E-67C54BC240DA}"/>
            </a:ext>
          </a:extLst>
        </xdr:cNvPr>
        <xdr:cNvSpPr/>
      </xdr:nvSpPr>
      <xdr:spPr>
        <a:xfrm>
          <a:off x="501650" y="9945544"/>
          <a:ext cx="5495925" cy="721879"/>
        </a:xfrm>
        <a:prstGeom prst="roundRect">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571501</xdr:colOff>
      <xdr:row>15</xdr:row>
      <xdr:rowOff>86591</xdr:rowOff>
    </xdr:from>
    <xdr:to>
      <xdr:col>9</xdr:col>
      <xdr:colOff>607291</xdr:colOff>
      <xdr:row>52</xdr:row>
      <xdr:rowOff>127000</xdr:rowOff>
    </xdr:to>
    <xdr:sp macro="" textlink="">
      <xdr:nvSpPr>
        <xdr:cNvPr id="4" name="テキスト ボックス 3">
          <a:extLst>
            <a:ext uri="{FF2B5EF4-FFF2-40B4-BE49-F238E27FC236}">
              <a16:creationId xmlns:a16="http://schemas.microsoft.com/office/drawing/2014/main" id="{CB8B5ECD-13A4-4A03-9B12-DA6E66B791AA}"/>
            </a:ext>
          </a:extLst>
        </xdr:cNvPr>
        <xdr:cNvSpPr txBox="1"/>
      </xdr:nvSpPr>
      <xdr:spPr>
        <a:xfrm>
          <a:off x="1257301" y="2658341"/>
          <a:ext cx="5522190" cy="6384059"/>
        </a:xfrm>
        <a:prstGeom prst="wedgeRoundRectCallou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u="sng"/>
            <a:t>⑫番</a:t>
          </a:r>
          <a:r>
            <a:rPr kumimoji="1" lang="ja-JP" altLang="en-US" sz="2000"/>
            <a:t>の合計欄から給与所得及び公的年金等雑所得を減じた額を</a:t>
          </a:r>
          <a:r>
            <a:rPr kumimoji="1" lang="en-US" altLang="ja-JP" sz="2000"/>
            <a:t>『</a:t>
          </a:r>
          <a:r>
            <a:rPr kumimoji="1" lang="ja-JP" altLang="en-US" sz="2000"/>
            <a:t>その他所得金額</a:t>
          </a:r>
          <a:r>
            <a:rPr kumimoji="1" lang="en-US" altLang="ja-JP" sz="2000"/>
            <a:t>』</a:t>
          </a:r>
          <a:r>
            <a:rPr kumimoji="1" lang="ja-JP" altLang="en-US" sz="2000"/>
            <a:t>に入力してください。</a:t>
          </a:r>
          <a:endParaRPr kumimoji="1" lang="en-US" altLang="ja-JP" sz="2000"/>
        </a:p>
        <a:p>
          <a:endParaRPr kumimoji="1" lang="en-US" altLang="ja-JP" sz="2000"/>
        </a:p>
        <a:p>
          <a:r>
            <a:rPr kumimoji="1" lang="ja-JP" altLang="en-US" sz="2000"/>
            <a:t>なお、株式等の譲渡所得等分離申告分がある方は分離課税となる各所得を別途含みます。</a:t>
          </a:r>
          <a:endParaRPr kumimoji="1" lang="en-US" altLang="ja-JP" sz="2000"/>
        </a:p>
        <a:p>
          <a:endParaRPr kumimoji="1" lang="en-US" altLang="ja-JP" sz="2000"/>
        </a:p>
        <a:p>
          <a:r>
            <a:rPr kumimoji="1" lang="en-US" altLang="ja-JP" sz="2000"/>
            <a:t>※</a:t>
          </a:r>
          <a:r>
            <a:rPr kumimoji="1" lang="ja-JP" altLang="en-US" sz="2000"/>
            <a:t>繰越損失等がある場合は、その控除</a:t>
          </a:r>
          <a:endParaRPr kumimoji="1" lang="en-US" altLang="ja-JP" sz="2000"/>
        </a:p>
        <a:p>
          <a:r>
            <a:rPr kumimoji="1" lang="ja-JP" altLang="en-US" sz="2000"/>
            <a:t>　</a:t>
          </a:r>
          <a:r>
            <a:rPr kumimoji="1" lang="ja-JP" altLang="en-US" sz="2000" baseline="0"/>
            <a:t> </a:t>
          </a:r>
          <a:r>
            <a:rPr kumimoji="1" lang="ja-JP" altLang="en-US" sz="2000"/>
            <a:t>後の金額となります（雑損失を除く）。</a:t>
          </a:r>
          <a:endParaRPr kumimoji="1" lang="en-US" altLang="ja-JP" sz="2000"/>
        </a:p>
        <a:p>
          <a:r>
            <a:rPr kumimoji="1" lang="en-US" altLang="ja-JP" sz="2000"/>
            <a:t>※</a:t>
          </a:r>
          <a:r>
            <a:rPr kumimoji="1" lang="ja-JP" altLang="en-US" sz="2000"/>
            <a:t>株式等の取引の際源泉徴収有の特</a:t>
          </a:r>
          <a:endParaRPr kumimoji="1" lang="en-US" altLang="ja-JP" sz="2000"/>
        </a:p>
        <a:p>
          <a:r>
            <a:rPr kumimoji="1" lang="ja-JP" altLang="en-US" sz="2000"/>
            <a:t>　 定口座を選択し、確定申告をしなかっ</a:t>
          </a:r>
          <a:endParaRPr kumimoji="1" lang="en-US" altLang="ja-JP" sz="2000"/>
        </a:p>
        <a:p>
          <a:r>
            <a:rPr kumimoji="1" lang="ja-JP" altLang="en-US" sz="2000"/>
            <a:t>　 た場合の所得は国保税算定に含みま</a:t>
          </a:r>
          <a:endParaRPr kumimoji="1" lang="en-US" altLang="ja-JP" sz="2000"/>
        </a:p>
        <a:p>
          <a:r>
            <a:rPr kumimoji="1" lang="ja-JP" altLang="en-US" sz="2000"/>
            <a:t>　 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036AA-03FB-4512-8CC8-DE0437A71EE3}">
  <sheetPr>
    <tabColor rgb="FFFF0000"/>
    <pageSetUpPr fitToPage="1"/>
  </sheetPr>
  <dimension ref="A1:Y47"/>
  <sheetViews>
    <sheetView zoomScaleNormal="100" workbookViewId="0">
      <pane xSplit="2" ySplit="4" topLeftCell="C31" activePane="bottomRight" state="frozen"/>
      <selection activeCell="C41" sqref="C41"/>
      <selection pane="topRight" activeCell="C41" sqref="C41"/>
      <selection pane="bottomLeft" activeCell="C41" sqref="C41"/>
      <selection pane="bottomRight" activeCell="V42" sqref="V42"/>
    </sheetView>
  </sheetViews>
  <sheetFormatPr defaultRowHeight="24" customHeight="1"/>
  <cols>
    <col min="1" max="1" width="11.875" style="35" hidden="1" customWidth="1"/>
    <col min="2" max="2" width="4" style="34" bestFit="1" customWidth="1"/>
    <col min="3" max="3" width="5.625" style="33" bestFit="1" customWidth="1"/>
    <col min="4" max="4" width="5.625" style="32" bestFit="1" customWidth="1"/>
    <col min="5" max="6" width="6.25" style="32" bestFit="1" customWidth="1"/>
    <col min="7" max="7" width="7.125" style="32" bestFit="1" customWidth="1"/>
    <col min="8" max="9" width="5.625" style="32" bestFit="1" customWidth="1"/>
    <col min="10" max="10" width="6.25" style="32" bestFit="1" customWidth="1"/>
    <col min="11" max="11" width="5.625" style="32" bestFit="1" customWidth="1"/>
    <col min="12" max="12" width="7.125" style="32" bestFit="1" customWidth="1"/>
    <col min="13" max="14" width="5.625" style="32" bestFit="1" customWidth="1"/>
    <col min="15" max="15" width="6.25" style="32" bestFit="1" customWidth="1"/>
    <col min="16" max="16" width="5.625" style="32" bestFit="1" customWidth="1"/>
    <col min="17" max="17" width="7.125" style="32" bestFit="1" customWidth="1"/>
    <col min="18" max="18" width="5.625" style="32" bestFit="1" customWidth="1"/>
    <col min="19" max="19" width="6.25" style="32" bestFit="1" customWidth="1"/>
    <col min="20" max="20" width="5.625" style="32" bestFit="1" customWidth="1"/>
    <col min="21" max="21" width="6.25" style="32" bestFit="1" customWidth="1"/>
    <col min="22" max="22" width="7.125" style="32" bestFit="1" customWidth="1"/>
    <col min="23" max="25" width="7.125" style="32" customWidth="1"/>
    <col min="26" max="16384" width="9" style="32"/>
  </cols>
  <sheetData>
    <row r="1" spans="2:25" ht="24" customHeight="1">
      <c r="B1" s="269" t="s">
        <v>175</v>
      </c>
      <c r="C1" s="270"/>
      <c r="D1" s="270"/>
      <c r="E1" s="270"/>
      <c r="F1" s="270"/>
      <c r="G1" s="270"/>
      <c r="H1" s="270"/>
      <c r="I1" s="270"/>
      <c r="J1" s="270"/>
      <c r="K1" s="270"/>
      <c r="L1" s="270"/>
      <c r="M1" s="270"/>
      <c r="N1" s="270"/>
      <c r="O1" s="270"/>
      <c r="P1" s="270"/>
      <c r="Q1" s="270"/>
      <c r="R1" s="71"/>
      <c r="S1" s="71"/>
      <c r="T1" s="71"/>
      <c r="U1" s="71"/>
      <c r="V1" s="71"/>
    </row>
    <row r="2" spans="2:25" ht="24" customHeight="1">
      <c r="B2" s="72"/>
      <c r="C2" s="71"/>
      <c r="D2" s="71"/>
      <c r="E2" s="71"/>
      <c r="F2" s="71"/>
      <c r="G2" s="71"/>
      <c r="H2" s="71"/>
      <c r="I2" s="71"/>
      <c r="J2" s="71"/>
      <c r="K2" s="71"/>
      <c r="L2" s="71"/>
      <c r="M2" s="71"/>
      <c r="N2" s="71"/>
      <c r="O2" s="71"/>
      <c r="P2" s="71"/>
      <c r="Q2" s="71"/>
      <c r="R2" s="71"/>
      <c r="S2" s="71"/>
      <c r="T2" s="71"/>
      <c r="U2" s="71"/>
      <c r="V2" s="71"/>
    </row>
    <row r="3" spans="2:25" s="35" customFormat="1" ht="24" customHeight="1">
      <c r="B3" s="271"/>
      <c r="C3" s="273" t="s">
        <v>174</v>
      </c>
      <c r="D3" s="274"/>
      <c r="E3" s="274"/>
      <c r="F3" s="274"/>
      <c r="G3" s="275"/>
      <c r="H3" s="276" t="s">
        <v>173</v>
      </c>
      <c r="I3" s="274"/>
      <c r="J3" s="274"/>
      <c r="K3" s="274"/>
      <c r="L3" s="277"/>
      <c r="M3" s="273" t="s">
        <v>172</v>
      </c>
      <c r="N3" s="274"/>
      <c r="O3" s="274"/>
      <c r="P3" s="274"/>
      <c r="Q3" s="275"/>
      <c r="R3" s="273" t="s">
        <v>192</v>
      </c>
      <c r="S3" s="274"/>
      <c r="T3" s="274"/>
      <c r="U3" s="277"/>
      <c r="V3" s="275"/>
      <c r="W3" s="256" t="s">
        <v>186</v>
      </c>
      <c r="X3" s="257"/>
      <c r="Y3" s="258"/>
    </row>
    <row r="4" spans="2:25" s="65" customFormat="1" ht="24" customHeight="1">
      <c r="B4" s="272"/>
      <c r="C4" s="68" t="s">
        <v>81</v>
      </c>
      <c r="D4" s="67" t="s">
        <v>171</v>
      </c>
      <c r="E4" s="67" t="s">
        <v>82</v>
      </c>
      <c r="F4" s="67" t="s">
        <v>83</v>
      </c>
      <c r="G4" s="66" t="s">
        <v>19</v>
      </c>
      <c r="H4" s="70" t="s">
        <v>81</v>
      </c>
      <c r="I4" s="67" t="s">
        <v>171</v>
      </c>
      <c r="J4" s="67" t="s">
        <v>82</v>
      </c>
      <c r="K4" s="67" t="s">
        <v>83</v>
      </c>
      <c r="L4" s="69" t="s">
        <v>19</v>
      </c>
      <c r="M4" s="68" t="s">
        <v>81</v>
      </c>
      <c r="N4" s="67" t="s">
        <v>171</v>
      </c>
      <c r="O4" s="67" t="s">
        <v>82</v>
      </c>
      <c r="P4" s="67" t="s">
        <v>83</v>
      </c>
      <c r="Q4" s="66" t="s">
        <v>19</v>
      </c>
      <c r="R4" s="68" t="s">
        <v>81</v>
      </c>
      <c r="S4" s="67" t="s">
        <v>82</v>
      </c>
      <c r="T4" s="67" t="s">
        <v>83</v>
      </c>
      <c r="U4" s="252" t="s">
        <v>207</v>
      </c>
      <c r="V4" s="66" t="s">
        <v>19</v>
      </c>
      <c r="W4" s="100" t="s">
        <v>184</v>
      </c>
      <c r="X4" s="101" t="s">
        <v>185</v>
      </c>
      <c r="Y4" s="102" t="s">
        <v>187</v>
      </c>
    </row>
    <row r="5" spans="2:25" s="35" customFormat="1" ht="24" customHeight="1">
      <c r="B5" s="64" t="s">
        <v>170</v>
      </c>
      <c r="C5" s="63">
        <v>5.5E-2</v>
      </c>
      <c r="D5" s="62">
        <v>0.43</v>
      </c>
      <c r="E5" s="61">
        <v>13200</v>
      </c>
      <c r="F5" s="60" t="s">
        <v>158</v>
      </c>
      <c r="G5" s="59" t="s">
        <v>167</v>
      </c>
      <c r="H5" s="259"/>
      <c r="I5" s="260"/>
      <c r="J5" s="260"/>
      <c r="K5" s="260"/>
      <c r="L5" s="261"/>
      <c r="M5" s="265"/>
      <c r="N5" s="260"/>
      <c r="O5" s="260"/>
      <c r="P5" s="260"/>
      <c r="Q5" s="266"/>
      <c r="R5" s="278"/>
      <c r="S5" s="279"/>
      <c r="T5" s="279"/>
      <c r="U5" s="279"/>
      <c r="V5" s="280"/>
      <c r="W5" s="85"/>
      <c r="X5" s="97"/>
      <c r="Y5" s="103"/>
    </row>
    <row r="6" spans="2:25" s="35" customFormat="1" ht="24" customHeight="1">
      <c r="B6" s="43" t="s">
        <v>169</v>
      </c>
      <c r="C6" s="58">
        <v>5.5E-2</v>
      </c>
      <c r="D6" s="57">
        <v>0.43</v>
      </c>
      <c r="E6" s="56" t="s">
        <v>165</v>
      </c>
      <c r="F6" s="56" t="s">
        <v>158</v>
      </c>
      <c r="G6" s="55" t="s">
        <v>167</v>
      </c>
      <c r="H6" s="262"/>
      <c r="I6" s="263"/>
      <c r="J6" s="263"/>
      <c r="K6" s="263"/>
      <c r="L6" s="264"/>
      <c r="M6" s="267"/>
      <c r="N6" s="263"/>
      <c r="O6" s="263"/>
      <c r="P6" s="263"/>
      <c r="Q6" s="268"/>
      <c r="R6" s="281"/>
      <c r="S6" s="282"/>
      <c r="T6" s="282"/>
      <c r="U6" s="282"/>
      <c r="V6" s="283"/>
      <c r="W6" s="85"/>
      <c r="X6" s="97"/>
      <c r="Y6" s="103"/>
    </row>
    <row r="7" spans="2:25" s="35" customFormat="1" ht="24" customHeight="1">
      <c r="B7" s="43" t="s">
        <v>168</v>
      </c>
      <c r="C7" s="58">
        <v>5.5E-2</v>
      </c>
      <c r="D7" s="57">
        <v>0.43</v>
      </c>
      <c r="E7" s="56" t="s">
        <v>165</v>
      </c>
      <c r="F7" s="56" t="s">
        <v>158</v>
      </c>
      <c r="G7" s="55" t="s">
        <v>167</v>
      </c>
      <c r="H7" s="262"/>
      <c r="I7" s="263"/>
      <c r="J7" s="263"/>
      <c r="K7" s="263"/>
      <c r="L7" s="264"/>
      <c r="M7" s="267"/>
      <c r="N7" s="263"/>
      <c r="O7" s="263"/>
      <c r="P7" s="263"/>
      <c r="Q7" s="268"/>
      <c r="R7" s="281"/>
      <c r="S7" s="282"/>
      <c r="T7" s="282"/>
      <c r="U7" s="282"/>
      <c r="V7" s="283"/>
      <c r="W7" s="85"/>
      <c r="X7" s="97"/>
      <c r="Y7" s="103"/>
    </row>
    <row r="8" spans="2:25" s="35" customFormat="1" ht="24" customHeight="1">
      <c r="B8" s="43" t="s">
        <v>166</v>
      </c>
      <c r="C8" s="58">
        <v>5.5999999999999994E-2</v>
      </c>
      <c r="D8" s="57">
        <v>0.38</v>
      </c>
      <c r="E8" s="56" t="s">
        <v>165</v>
      </c>
      <c r="F8" s="56" t="s">
        <v>158</v>
      </c>
      <c r="G8" s="55" t="s">
        <v>164</v>
      </c>
      <c r="H8" s="262"/>
      <c r="I8" s="263"/>
      <c r="J8" s="263"/>
      <c r="K8" s="263"/>
      <c r="L8" s="264"/>
      <c r="M8" s="267"/>
      <c r="N8" s="263"/>
      <c r="O8" s="263"/>
      <c r="P8" s="263"/>
      <c r="Q8" s="268"/>
      <c r="R8" s="281"/>
      <c r="S8" s="282"/>
      <c r="T8" s="282"/>
      <c r="U8" s="282"/>
      <c r="V8" s="283"/>
      <c r="W8" s="85"/>
      <c r="X8" s="97"/>
      <c r="Y8" s="103"/>
    </row>
    <row r="9" spans="2:25" s="35" customFormat="1" ht="24" customHeight="1">
      <c r="B9" s="43" t="s">
        <v>163</v>
      </c>
      <c r="C9" s="58">
        <v>5.5999999999999994E-2</v>
      </c>
      <c r="D9" s="57">
        <v>0.35</v>
      </c>
      <c r="E9" s="56" t="s">
        <v>162</v>
      </c>
      <c r="F9" s="56" t="s">
        <v>161</v>
      </c>
      <c r="G9" s="55" t="s">
        <v>160</v>
      </c>
      <c r="H9" s="262"/>
      <c r="I9" s="263"/>
      <c r="J9" s="263"/>
      <c r="K9" s="263"/>
      <c r="L9" s="264"/>
      <c r="M9" s="267"/>
      <c r="N9" s="263"/>
      <c r="O9" s="263"/>
      <c r="P9" s="263"/>
      <c r="Q9" s="268"/>
      <c r="R9" s="281"/>
      <c r="S9" s="282"/>
      <c r="T9" s="282"/>
      <c r="U9" s="282"/>
      <c r="V9" s="283"/>
      <c r="W9" s="85"/>
      <c r="X9" s="97"/>
      <c r="Y9" s="103"/>
    </row>
    <row r="10" spans="2:25" s="35" customFormat="1" ht="24" customHeight="1">
      <c r="B10" s="43" t="s">
        <v>159</v>
      </c>
      <c r="C10" s="58">
        <v>5.5999999999999994E-2</v>
      </c>
      <c r="D10" s="57">
        <v>0.35</v>
      </c>
      <c r="E10" s="56" t="s">
        <v>158</v>
      </c>
      <c r="F10" s="56" t="s">
        <v>157</v>
      </c>
      <c r="G10" s="55" t="s">
        <v>156</v>
      </c>
      <c r="H10" s="262"/>
      <c r="I10" s="263"/>
      <c r="J10" s="263"/>
      <c r="K10" s="263"/>
      <c r="L10" s="264"/>
      <c r="M10" s="267"/>
      <c r="N10" s="263"/>
      <c r="O10" s="263"/>
      <c r="P10" s="263"/>
      <c r="Q10" s="268"/>
      <c r="R10" s="281"/>
      <c r="S10" s="282"/>
      <c r="T10" s="282"/>
      <c r="U10" s="282"/>
      <c r="V10" s="283"/>
      <c r="W10" s="85"/>
      <c r="X10" s="97"/>
      <c r="Y10" s="103"/>
    </row>
    <row r="11" spans="2:25" s="35" customFormat="1" ht="24" customHeight="1">
      <c r="B11" s="43" t="s">
        <v>155</v>
      </c>
      <c r="C11" s="58">
        <v>5.5E-2</v>
      </c>
      <c r="D11" s="57">
        <v>0.27</v>
      </c>
      <c r="E11" s="56" t="s">
        <v>154</v>
      </c>
      <c r="F11" s="56" t="s">
        <v>153</v>
      </c>
      <c r="G11" s="55" t="s">
        <v>152</v>
      </c>
      <c r="H11" s="262"/>
      <c r="I11" s="263"/>
      <c r="J11" s="263"/>
      <c r="K11" s="263"/>
      <c r="L11" s="264"/>
      <c r="M11" s="267"/>
      <c r="N11" s="263"/>
      <c r="O11" s="263"/>
      <c r="P11" s="263"/>
      <c r="Q11" s="268"/>
      <c r="R11" s="281"/>
      <c r="S11" s="282"/>
      <c r="T11" s="282"/>
      <c r="U11" s="282"/>
      <c r="V11" s="283"/>
      <c r="W11" s="85"/>
      <c r="X11" s="97"/>
      <c r="Y11" s="103"/>
    </row>
    <row r="12" spans="2:25" s="35" customFormat="1" ht="24" customHeight="1">
      <c r="B12" s="43" t="s">
        <v>151</v>
      </c>
      <c r="C12" s="58">
        <v>5.4000000000000006E-2</v>
      </c>
      <c r="D12" s="57">
        <v>0.21</v>
      </c>
      <c r="E12" s="56" t="s">
        <v>150</v>
      </c>
      <c r="F12" s="56" t="s">
        <v>149</v>
      </c>
      <c r="G12" s="55" t="s">
        <v>148</v>
      </c>
      <c r="H12" s="262"/>
      <c r="I12" s="263"/>
      <c r="J12" s="263"/>
      <c r="K12" s="263"/>
      <c r="L12" s="264"/>
      <c r="M12" s="267"/>
      <c r="N12" s="263"/>
      <c r="O12" s="263"/>
      <c r="P12" s="263"/>
      <c r="Q12" s="268"/>
      <c r="R12" s="281"/>
      <c r="S12" s="282"/>
      <c r="T12" s="282"/>
      <c r="U12" s="282"/>
      <c r="V12" s="283"/>
      <c r="W12" s="85"/>
      <c r="X12" s="97"/>
      <c r="Y12" s="103"/>
    </row>
    <row r="13" spans="2:25" ht="24" customHeight="1">
      <c r="B13" s="43" t="s">
        <v>147</v>
      </c>
      <c r="C13" s="42">
        <v>5.3999999999999999E-2</v>
      </c>
      <c r="D13" s="53">
        <v>0.18</v>
      </c>
      <c r="E13" s="37">
        <v>22200</v>
      </c>
      <c r="F13" s="37">
        <v>22800</v>
      </c>
      <c r="G13" s="36">
        <v>530000</v>
      </c>
      <c r="H13" s="262"/>
      <c r="I13" s="263"/>
      <c r="J13" s="263"/>
      <c r="K13" s="263"/>
      <c r="L13" s="264"/>
      <c r="M13" s="267"/>
      <c r="N13" s="263"/>
      <c r="O13" s="263"/>
      <c r="P13" s="263"/>
      <c r="Q13" s="268"/>
      <c r="R13" s="281"/>
      <c r="S13" s="282"/>
      <c r="T13" s="282"/>
      <c r="U13" s="282"/>
      <c r="V13" s="283"/>
      <c r="W13" s="86"/>
      <c r="X13" s="98"/>
      <c r="Y13" s="36"/>
    </row>
    <row r="14" spans="2:25" ht="24" customHeight="1">
      <c r="B14" s="43" t="s">
        <v>146</v>
      </c>
      <c r="C14" s="42">
        <v>5.2999999999999999E-2</v>
      </c>
      <c r="D14" s="53">
        <v>0.15</v>
      </c>
      <c r="E14" s="37">
        <v>21000</v>
      </c>
      <c r="F14" s="37">
        <v>22200</v>
      </c>
      <c r="G14" s="36">
        <v>530000</v>
      </c>
      <c r="H14" s="262"/>
      <c r="I14" s="263"/>
      <c r="J14" s="263"/>
      <c r="K14" s="263"/>
      <c r="L14" s="264"/>
      <c r="M14" s="267"/>
      <c r="N14" s="263"/>
      <c r="O14" s="263"/>
      <c r="P14" s="263"/>
      <c r="Q14" s="268"/>
      <c r="R14" s="281"/>
      <c r="S14" s="282"/>
      <c r="T14" s="282"/>
      <c r="U14" s="282"/>
      <c r="V14" s="283"/>
      <c r="W14" s="86"/>
      <c r="X14" s="98"/>
      <c r="Y14" s="36"/>
    </row>
    <row r="15" spans="2:25" ht="24" customHeight="1">
      <c r="B15" s="43" t="s">
        <v>145</v>
      </c>
      <c r="C15" s="42">
        <v>5.3999999999999999E-2</v>
      </c>
      <c r="D15" s="53">
        <v>0.16</v>
      </c>
      <c r="E15" s="37">
        <v>22200</v>
      </c>
      <c r="F15" s="37">
        <v>22800</v>
      </c>
      <c r="G15" s="36">
        <v>530000</v>
      </c>
      <c r="H15" s="262"/>
      <c r="I15" s="263"/>
      <c r="J15" s="263"/>
      <c r="K15" s="263"/>
      <c r="L15" s="264"/>
      <c r="M15" s="267"/>
      <c r="N15" s="263"/>
      <c r="O15" s="263"/>
      <c r="P15" s="263"/>
      <c r="Q15" s="268"/>
      <c r="R15" s="281"/>
      <c r="S15" s="282"/>
      <c r="T15" s="282"/>
      <c r="U15" s="282"/>
      <c r="V15" s="283"/>
      <c r="W15" s="86"/>
      <c r="X15" s="98"/>
      <c r="Y15" s="36"/>
    </row>
    <row r="16" spans="2:25" ht="24" customHeight="1">
      <c r="B16" s="43" t="s">
        <v>144</v>
      </c>
      <c r="C16" s="42">
        <v>5.3999999999999999E-2</v>
      </c>
      <c r="D16" s="53">
        <v>0.16</v>
      </c>
      <c r="E16" s="37">
        <v>22200</v>
      </c>
      <c r="F16" s="37">
        <v>22800</v>
      </c>
      <c r="G16" s="36">
        <v>530000</v>
      </c>
      <c r="H16" s="262"/>
      <c r="I16" s="263"/>
      <c r="J16" s="263"/>
      <c r="K16" s="263"/>
      <c r="L16" s="264"/>
      <c r="M16" s="39">
        <v>6.7000000000000002E-3</v>
      </c>
      <c r="N16" s="53">
        <v>0.01</v>
      </c>
      <c r="O16" s="37">
        <v>3800</v>
      </c>
      <c r="P16" s="37">
        <v>3800</v>
      </c>
      <c r="Q16" s="36">
        <v>70000</v>
      </c>
      <c r="R16" s="284"/>
      <c r="S16" s="285"/>
      <c r="T16" s="285"/>
      <c r="U16" s="285"/>
      <c r="V16" s="286"/>
      <c r="W16" s="86"/>
      <c r="X16" s="98"/>
      <c r="Y16" s="36"/>
    </row>
    <row r="17" spans="2:25" ht="24" customHeight="1">
      <c r="B17" s="43" t="s">
        <v>143</v>
      </c>
      <c r="C17" s="42">
        <v>5.6000000000000001E-2</v>
      </c>
      <c r="D17" s="53">
        <v>0.15</v>
      </c>
      <c r="E17" s="37">
        <v>23400</v>
      </c>
      <c r="F17" s="37">
        <v>24000</v>
      </c>
      <c r="G17" s="36">
        <v>530000</v>
      </c>
      <c r="H17" s="262"/>
      <c r="I17" s="263"/>
      <c r="J17" s="263"/>
      <c r="K17" s="263"/>
      <c r="L17" s="264"/>
      <c r="M17" s="39">
        <v>7.7999999999999996E-3</v>
      </c>
      <c r="N17" s="53">
        <v>0.01</v>
      </c>
      <c r="O17" s="37">
        <v>4200</v>
      </c>
      <c r="P17" s="37">
        <v>3800</v>
      </c>
      <c r="Q17" s="36">
        <v>70000</v>
      </c>
      <c r="R17" s="284"/>
      <c r="S17" s="285"/>
      <c r="T17" s="285"/>
      <c r="U17" s="285"/>
      <c r="V17" s="286"/>
      <c r="W17" s="86"/>
      <c r="X17" s="98"/>
      <c r="Y17" s="36"/>
    </row>
    <row r="18" spans="2:25" ht="24" customHeight="1">
      <c r="B18" s="43" t="s">
        <v>142</v>
      </c>
      <c r="C18" s="42">
        <v>5.6000000000000001E-2</v>
      </c>
      <c r="D18" s="53">
        <v>0.15</v>
      </c>
      <c r="E18" s="37">
        <v>23400</v>
      </c>
      <c r="F18" s="37">
        <v>24000</v>
      </c>
      <c r="G18" s="36">
        <v>530000</v>
      </c>
      <c r="H18" s="262"/>
      <c r="I18" s="263"/>
      <c r="J18" s="263"/>
      <c r="K18" s="263"/>
      <c r="L18" s="264"/>
      <c r="M18" s="39">
        <v>7.7999999999999996E-3</v>
      </c>
      <c r="N18" s="53">
        <v>0.01</v>
      </c>
      <c r="O18" s="37">
        <v>4200</v>
      </c>
      <c r="P18" s="37">
        <v>3800</v>
      </c>
      <c r="Q18" s="36">
        <v>70000</v>
      </c>
      <c r="R18" s="284"/>
      <c r="S18" s="285"/>
      <c r="T18" s="285"/>
      <c r="U18" s="285"/>
      <c r="V18" s="286"/>
      <c r="W18" s="86"/>
      <c r="X18" s="98"/>
      <c r="Y18" s="36"/>
    </row>
    <row r="19" spans="2:25" ht="24" customHeight="1">
      <c r="B19" s="43" t="s">
        <v>141</v>
      </c>
      <c r="C19" s="42">
        <v>5.6000000000000001E-2</v>
      </c>
      <c r="D19" s="53">
        <v>0.15</v>
      </c>
      <c r="E19" s="37">
        <v>23400</v>
      </c>
      <c r="F19" s="37">
        <v>24000</v>
      </c>
      <c r="G19" s="36">
        <v>530000</v>
      </c>
      <c r="H19" s="262"/>
      <c r="I19" s="263"/>
      <c r="J19" s="263"/>
      <c r="K19" s="263"/>
      <c r="L19" s="264"/>
      <c r="M19" s="39">
        <v>7.7999999999999996E-3</v>
      </c>
      <c r="N19" s="53">
        <v>0.01</v>
      </c>
      <c r="O19" s="37">
        <v>4200</v>
      </c>
      <c r="P19" s="37">
        <v>3800</v>
      </c>
      <c r="Q19" s="36">
        <v>70000</v>
      </c>
      <c r="R19" s="284"/>
      <c r="S19" s="285"/>
      <c r="T19" s="285"/>
      <c r="U19" s="285"/>
      <c r="V19" s="286"/>
      <c r="W19" s="86"/>
      <c r="X19" s="98"/>
      <c r="Y19" s="36"/>
    </row>
    <row r="20" spans="2:25" ht="24" customHeight="1">
      <c r="B20" s="43" t="s">
        <v>140</v>
      </c>
      <c r="C20" s="42">
        <v>6.0999999999999999E-2</v>
      </c>
      <c r="D20" s="53">
        <v>0.15</v>
      </c>
      <c r="E20" s="37">
        <v>25400</v>
      </c>
      <c r="F20" s="37">
        <v>26000</v>
      </c>
      <c r="G20" s="36">
        <v>530000</v>
      </c>
      <c r="H20" s="262"/>
      <c r="I20" s="263"/>
      <c r="J20" s="263"/>
      <c r="K20" s="263"/>
      <c r="L20" s="264"/>
      <c r="M20" s="39">
        <v>9.1000000000000004E-3</v>
      </c>
      <c r="N20" s="53">
        <v>0.01</v>
      </c>
      <c r="O20" s="37">
        <v>4900</v>
      </c>
      <c r="P20" s="37">
        <v>4400</v>
      </c>
      <c r="Q20" s="36">
        <v>80000</v>
      </c>
      <c r="R20" s="284"/>
      <c r="S20" s="285"/>
      <c r="T20" s="285"/>
      <c r="U20" s="285"/>
      <c r="V20" s="286"/>
      <c r="W20" s="86"/>
      <c r="X20" s="98"/>
      <c r="Y20" s="36"/>
    </row>
    <row r="21" spans="2:25" ht="24" customHeight="1">
      <c r="B21" s="43" t="s">
        <v>139</v>
      </c>
      <c r="C21" s="42">
        <v>6.8000000000000005E-2</v>
      </c>
      <c r="D21" s="53">
        <v>0.15</v>
      </c>
      <c r="E21" s="37">
        <v>28300</v>
      </c>
      <c r="F21" s="37">
        <v>28900</v>
      </c>
      <c r="G21" s="36">
        <v>530000</v>
      </c>
      <c r="H21" s="262"/>
      <c r="I21" s="263"/>
      <c r="J21" s="263"/>
      <c r="K21" s="263"/>
      <c r="L21" s="264"/>
      <c r="M21" s="39">
        <v>1.0999999999999999E-2</v>
      </c>
      <c r="N21" s="53">
        <v>0.01</v>
      </c>
      <c r="O21" s="37">
        <v>5900</v>
      </c>
      <c r="P21" s="37">
        <v>5300</v>
      </c>
      <c r="Q21" s="36">
        <v>80000</v>
      </c>
      <c r="R21" s="284"/>
      <c r="S21" s="285"/>
      <c r="T21" s="285"/>
      <c r="U21" s="285"/>
      <c r="V21" s="286"/>
      <c r="W21" s="86"/>
      <c r="X21" s="98"/>
      <c r="Y21" s="36"/>
    </row>
    <row r="22" spans="2:25" ht="24" customHeight="1">
      <c r="B22" s="43" t="s">
        <v>138</v>
      </c>
      <c r="C22" s="42">
        <v>6.8000000000000005E-2</v>
      </c>
      <c r="D22" s="53">
        <v>0.15</v>
      </c>
      <c r="E22" s="37">
        <v>28300</v>
      </c>
      <c r="F22" s="37">
        <v>28900</v>
      </c>
      <c r="G22" s="36">
        <v>530000</v>
      </c>
      <c r="H22" s="262"/>
      <c r="I22" s="263"/>
      <c r="J22" s="263"/>
      <c r="K22" s="263"/>
      <c r="L22" s="264"/>
      <c r="M22" s="39">
        <v>1.0999999999999999E-2</v>
      </c>
      <c r="N22" s="53">
        <v>0.01</v>
      </c>
      <c r="O22" s="37">
        <v>5900</v>
      </c>
      <c r="P22" s="37">
        <v>5300</v>
      </c>
      <c r="Q22" s="36">
        <v>80000</v>
      </c>
      <c r="R22" s="284"/>
      <c r="S22" s="285"/>
      <c r="T22" s="285"/>
      <c r="U22" s="285"/>
      <c r="V22" s="286"/>
      <c r="W22" s="86"/>
      <c r="X22" s="98"/>
      <c r="Y22" s="36"/>
    </row>
    <row r="23" spans="2:25" ht="24" customHeight="1">
      <c r="B23" s="43" t="s">
        <v>137</v>
      </c>
      <c r="C23" s="42">
        <v>6.8000000000000005E-2</v>
      </c>
      <c r="D23" s="53">
        <v>0.15</v>
      </c>
      <c r="E23" s="37">
        <v>28300</v>
      </c>
      <c r="F23" s="37">
        <v>28900</v>
      </c>
      <c r="G23" s="36">
        <v>530000</v>
      </c>
      <c r="H23" s="262"/>
      <c r="I23" s="263"/>
      <c r="J23" s="263"/>
      <c r="K23" s="263"/>
      <c r="L23" s="264"/>
      <c r="M23" s="39">
        <v>1.0999999999999999E-2</v>
      </c>
      <c r="N23" s="53">
        <v>0.01</v>
      </c>
      <c r="O23" s="37">
        <v>5900</v>
      </c>
      <c r="P23" s="37">
        <v>5300</v>
      </c>
      <c r="Q23" s="36">
        <v>80000</v>
      </c>
      <c r="R23" s="284"/>
      <c r="S23" s="285"/>
      <c r="T23" s="285"/>
      <c r="U23" s="285"/>
      <c r="V23" s="286"/>
      <c r="W23" s="86"/>
      <c r="X23" s="98"/>
      <c r="Y23" s="36"/>
    </row>
    <row r="24" spans="2:25" ht="24" customHeight="1">
      <c r="B24" s="43" t="s">
        <v>136</v>
      </c>
      <c r="C24" s="42">
        <v>5.3999999999999999E-2</v>
      </c>
      <c r="D24" s="53">
        <v>0.12</v>
      </c>
      <c r="E24" s="37">
        <v>22600</v>
      </c>
      <c r="F24" s="37">
        <v>23100</v>
      </c>
      <c r="G24" s="36">
        <v>470000</v>
      </c>
      <c r="H24" s="41">
        <v>1.4E-2</v>
      </c>
      <c r="I24" s="53">
        <v>0.03</v>
      </c>
      <c r="J24" s="37">
        <v>5700</v>
      </c>
      <c r="K24" s="37">
        <v>5800</v>
      </c>
      <c r="L24" s="40">
        <v>120000</v>
      </c>
      <c r="M24" s="39">
        <v>1.0999999999999999E-2</v>
      </c>
      <c r="N24" s="53">
        <v>0.01</v>
      </c>
      <c r="O24" s="37">
        <v>5900</v>
      </c>
      <c r="P24" s="37">
        <v>5300</v>
      </c>
      <c r="Q24" s="36">
        <v>80000</v>
      </c>
      <c r="R24" s="284"/>
      <c r="S24" s="285"/>
      <c r="T24" s="285"/>
      <c r="U24" s="285"/>
      <c r="V24" s="286"/>
      <c r="W24" s="86"/>
      <c r="X24" s="98"/>
      <c r="Y24" s="36"/>
    </row>
    <row r="25" spans="2:25" ht="24" customHeight="1">
      <c r="B25" s="43" t="s">
        <v>135</v>
      </c>
      <c r="C25" s="42">
        <v>5.3999999999999999E-2</v>
      </c>
      <c r="D25" s="53">
        <v>0.12</v>
      </c>
      <c r="E25" s="37">
        <v>22600</v>
      </c>
      <c r="F25" s="37">
        <v>23100</v>
      </c>
      <c r="G25" s="36">
        <v>470000</v>
      </c>
      <c r="H25" s="41">
        <v>1.4E-2</v>
      </c>
      <c r="I25" s="53">
        <v>0.03</v>
      </c>
      <c r="J25" s="37">
        <v>5700</v>
      </c>
      <c r="K25" s="37">
        <v>5800</v>
      </c>
      <c r="L25" s="40">
        <v>120000</v>
      </c>
      <c r="M25" s="39">
        <v>1.0999999999999999E-2</v>
      </c>
      <c r="N25" s="53">
        <v>0.01</v>
      </c>
      <c r="O25" s="37">
        <v>5900</v>
      </c>
      <c r="P25" s="37">
        <v>5300</v>
      </c>
      <c r="Q25" s="36">
        <v>80000</v>
      </c>
      <c r="R25" s="284"/>
      <c r="S25" s="285"/>
      <c r="T25" s="285"/>
      <c r="U25" s="285"/>
      <c r="V25" s="286"/>
      <c r="W25" s="86"/>
      <c r="X25" s="98"/>
      <c r="Y25" s="36"/>
    </row>
    <row r="26" spans="2:25" ht="24" customHeight="1">
      <c r="B26" s="43" t="s">
        <v>134</v>
      </c>
      <c r="C26" s="42">
        <v>5.3999999999999999E-2</v>
      </c>
      <c r="D26" s="53">
        <v>0.12</v>
      </c>
      <c r="E26" s="37">
        <v>22600</v>
      </c>
      <c r="F26" s="37">
        <v>23100</v>
      </c>
      <c r="G26" s="36">
        <v>470000</v>
      </c>
      <c r="H26" s="41">
        <v>1.4E-2</v>
      </c>
      <c r="I26" s="53">
        <v>0.03</v>
      </c>
      <c r="J26" s="37">
        <v>5700</v>
      </c>
      <c r="K26" s="37">
        <v>5800</v>
      </c>
      <c r="L26" s="40">
        <v>120000</v>
      </c>
      <c r="M26" s="39">
        <v>1.0999999999999999E-2</v>
      </c>
      <c r="N26" s="53">
        <v>0.01</v>
      </c>
      <c r="O26" s="37">
        <v>5900</v>
      </c>
      <c r="P26" s="37">
        <v>5300</v>
      </c>
      <c r="Q26" s="36">
        <v>80000</v>
      </c>
      <c r="R26" s="284"/>
      <c r="S26" s="285"/>
      <c r="T26" s="285"/>
      <c r="U26" s="285"/>
      <c r="V26" s="286"/>
      <c r="W26" s="86"/>
      <c r="X26" s="98"/>
      <c r="Y26" s="36"/>
    </row>
    <row r="27" spans="2:25" ht="24" customHeight="1">
      <c r="B27" s="43" t="s">
        <v>133</v>
      </c>
      <c r="C27" s="42">
        <v>5.3999999999999999E-2</v>
      </c>
      <c r="D27" s="53">
        <v>0.12</v>
      </c>
      <c r="E27" s="37">
        <v>22600</v>
      </c>
      <c r="F27" s="37">
        <v>23100</v>
      </c>
      <c r="G27" s="36">
        <v>500000</v>
      </c>
      <c r="H27" s="41">
        <v>1.4E-2</v>
      </c>
      <c r="I27" s="53">
        <v>0.03</v>
      </c>
      <c r="J27" s="37">
        <v>5700</v>
      </c>
      <c r="K27" s="37">
        <v>5800</v>
      </c>
      <c r="L27" s="40">
        <v>130000</v>
      </c>
      <c r="M27" s="39">
        <v>1.0999999999999999E-2</v>
      </c>
      <c r="N27" s="53">
        <v>0.01</v>
      </c>
      <c r="O27" s="37">
        <v>5900</v>
      </c>
      <c r="P27" s="37">
        <v>5300</v>
      </c>
      <c r="Q27" s="36">
        <v>100000</v>
      </c>
      <c r="R27" s="284"/>
      <c r="S27" s="285"/>
      <c r="T27" s="285"/>
      <c r="U27" s="285"/>
      <c r="V27" s="286"/>
      <c r="W27" s="86"/>
      <c r="X27" s="98"/>
      <c r="Y27" s="36"/>
    </row>
    <row r="28" spans="2:25" ht="24" customHeight="1">
      <c r="B28" s="43" t="s">
        <v>132</v>
      </c>
      <c r="C28" s="42">
        <v>5.3999999999999999E-2</v>
      </c>
      <c r="D28" s="53">
        <v>0.12</v>
      </c>
      <c r="E28" s="37">
        <v>22600</v>
      </c>
      <c r="F28" s="37">
        <v>23100</v>
      </c>
      <c r="G28" s="36">
        <v>500000</v>
      </c>
      <c r="H28" s="41">
        <v>1.4E-2</v>
      </c>
      <c r="I28" s="53">
        <v>0.03</v>
      </c>
      <c r="J28" s="37">
        <v>5700</v>
      </c>
      <c r="K28" s="37">
        <v>5800</v>
      </c>
      <c r="L28" s="40">
        <v>130000</v>
      </c>
      <c r="M28" s="39">
        <v>1.0999999999999999E-2</v>
      </c>
      <c r="N28" s="53">
        <v>0.01</v>
      </c>
      <c r="O28" s="37">
        <v>5900</v>
      </c>
      <c r="P28" s="37">
        <v>5300</v>
      </c>
      <c r="Q28" s="36">
        <v>100000</v>
      </c>
      <c r="R28" s="284"/>
      <c r="S28" s="285"/>
      <c r="T28" s="285"/>
      <c r="U28" s="285"/>
      <c r="V28" s="286"/>
      <c r="W28" s="86"/>
      <c r="X28" s="98"/>
      <c r="Y28" s="36"/>
    </row>
    <row r="29" spans="2:25" ht="24" customHeight="1">
      <c r="B29" s="43" t="s">
        <v>131</v>
      </c>
      <c r="C29" s="42">
        <v>5.3999999999999999E-2</v>
      </c>
      <c r="D29" s="53">
        <v>0.12</v>
      </c>
      <c r="E29" s="37">
        <v>22600</v>
      </c>
      <c r="F29" s="37">
        <v>23100</v>
      </c>
      <c r="G29" s="36">
        <v>500000</v>
      </c>
      <c r="H29" s="41">
        <v>1.4E-2</v>
      </c>
      <c r="I29" s="53">
        <v>0.03</v>
      </c>
      <c r="J29" s="37">
        <v>5700</v>
      </c>
      <c r="K29" s="37">
        <v>5800</v>
      </c>
      <c r="L29" s="40">
        <v>130000</v>
      </c>
      <c r="M29" s="39">
        <v>1.0999999999999999E-2</v>
      </c>
      <c r="N29" s="53">
        <v>0.01</v>
      </c>
      <c r="O29" s="37">
        <v>5900</v>
      </c>
      <c r="P29" s="37">
        <v>5300</v>
      </c>
      <c r="Q29" s="36">
        <v>100000</v>
      </c>
      <c r="R29" s="284"/>
      <c r="S29" s="285"/>
      <c r="T29" s="285"/>
      <c r="U29" s="285"/>
      <c r="V29" s="286"/>
      <c r="W29" s="86"/>
      <c r="X29" s="98"/>
      <c r="Y29" s="36"/>
    </row>
    <row r="30" spans="2:25" ht="24" customHeight="1">
      <c r="B30" s="43" t="s">
        <v>130</v>
      </c>
      <c r="C30" s="42">
        <v>5.3999999999999999E-2</v>
      </c>
      <c r="D30" s="53">
        <v>0.12</v>
      </c>
      <c r="E30" s="37">
        <v>22600</v>
      </c>
      <c r="F30" s="37">
        <v>23100</v>
      </c>
      <c r="G30" s="36">
        <v>510000</v>
      </c>
      <c r="H30" s="41">
        <v>1.4E-2</v>
      </c>
      <c r="I30" s="53">
        <v>0.03</v>
      </c>
      <c r="J30" s="37">
        <v>5700</v>
      </c>
      <c r="K30" s="37">
        <v>5800</v>
      </c>
      <c r="L30" s="54">
        <v>140000</v>
      </c>
      <c r="M30" s="39">
        <v>1.0999999999999999E-2</v>
      </c>
      <c r="N30" s="53">
        <v>0.01</v>
      </c>
      <c r="O30" s="37">
        <v>5900</v>
      </c>
      <c r="P30" s="37">
        <v>5300</v>
      </c>
      <c r="Q30" s="36">
        <v>120000</v>
      </c>
      <c r="R30" s="284"/>
      <c r="S30" s="285"/>
      <c r="T30" s="285"/>
      <c r="U30" s="285"/>
      <c r="V30" s="286"/>
      <c r="W30" s="86"/>
      <c r="X30" s="98"/>
      <c r="Y30" s="36"/>
    </row>
    <row r="31" spans="2:25" ht="24" customHeight="1">
      <c r="B31" s="43" t="s">
        <v>129</v>
      </c>
      <c r="C31" s="42">
        <v>5.3999999999999999E-2</v>
      </c>
      <c r="D31" s="53">
        <v>0.12</v>
      </c>
      <c r="E31" s="37">
        <v>22600</v>
      </c>
      <c r="F31" s="37">
        <v>23100</v>
      </c>
      <c r="G31" s="36">
        <v>510000</v>
      </c>
      <c r="H31" s="41">
        <v>1.4E-2</v>
      </c>
      <c r="I31" s="53">
        <v>0.03</v>
      </c>
      <c r="J31" s="37">
        <v>5700</v>
      </c>
      <c r="K31" s="37">
        <v>5800</v>
      </c>
      <c r="L31" s="40">
        <v>160000</v>
      </c>
      <c r="M31" s="39">
        <v>1.0999999999999999E-2</v>
      </c>
      <c r="N31" s="53">
        <v>0.01</v>
      </c>
      <c r="O31" s="37">
        <v>5900</v>
      </c>
      <c r="P31" s="37">
        <v>5300</v>
      </c>
      <c r="Q31" s="36">
        <v>140000</v>
      </c>
      <c r="R31" s="284"/>
      <c r="S31" s="285"/>
      <c r="T31" s="285"/>
      <c r="U31" s="285"/>
      <c r="V31" s="286"/>
      <c r="W31" s="86"/>
      <c r="X31" s="98"/>
      <c r="Y31" s="36"/>
    </row>
    <row r="32" spans="2:25" ht="24" customHeight="1">
      <c r="B32" s="43" t="s">
        <v>128</v>
      </c>
      <c r="C32" s="42">
        <v>5.4699999999999999E-2</v>
      </c>
      <c r="D32" s="53">
        <v>0.06</v>
      </c>
      <c r="E32" s="37">
        <v>23900</v>
      </c>
      <c r="F32" s="37">
        <v>24200</v>
      </c>
      <c r="G32" s="36">
        <v>520000</v>
      </c>
      <c r="H32" s="41">
        <v>1.4E-2</v>
      </c>
      <c r="I32" s="52">
        <v>1.4999999999999999E-2</v>
      </c>
      <c r="J32" s="37">
        <v>6000</v>
      </c>
      <c r="K32" s="37">
        <v>6300</v>
      </c>
      <c r="L32" s="40">
        <v>170000</v>
      </c>
      <c r="M32" s="39">
        <v>1.0999999999999999E-2</v>
      </c>
      <c r="N32" s="52">
        <v>5.0000000000000001E-3</v>
      </c>
      <c r="O32" s="37">
        <v>6300</v>
      </c>
      <c r="P32" s="37">
        <v>5000</v>
      </c>
      <c r="Q32" s="36">
        <v>160000</v>
      </c>
      <c r="R32" s="284"/>
      <c r="S32" s="285"/>
      <c r="T32" s="285"/>
      <c r="U32" s="285"/>
      <c r="V32" s="286"/>
      <c r="W32" s="86"/>
      <c r="X32" s="98"/>
      <c r="Y32" s="36"/>
    </row>
    <row r="33" spans="2:25" ht="24" customHeight="1">
      <c r="B33" s="43" t="s">
        <v>127</v>
      </c>
      <c r="C33" s="42">
        <v>5.5399999999999998E-2</v>
      </c>
      <c r="D33" s="38"/>
      <c r="E33" s="37">
        <v>25100</v>
      </c>
      <c r="F33" s="37">
        <v>25400</v>
      </c>
      <c r="G33" s="36">
        <v>540000</v>
      </c>
      <c r="H33" s="41">
        <v>1.4E-2</v>
      </c>
      <c r="I33" s="38"/>
      <c r="J33" s="37">
        <v>6400</v>
      </c>
      <c r="K33" s="37">
        <v>6800</v>
      </c>
      <c r="L33" s="40">
        <v>190000</v>
      </c>
      <c r="M33" s="39">
        <v>1.0999999999999999E-2</v>
      </c>
      <c r="N33" s="38"/>
      <c r="O33" s="37">
        <v>6800</v>
      </c>
      <c r="P33" s="37">
        <v>4700</v>
      </c>
      <c r="Q33" s="36">
        <v>160000</v>
      </c>
      <c r="R33" s="284"/>
      <c r="S33" s="285"/>
      <c r="T33" s="285"/>
      <c r="U33" s="285"/>
      <c r="V33" s="286"/>
      <c r="W33" s="86"/>
      <c r="X33" s="98"/>
      <c r="Y33" s="36"/>
    </row>
    <row r="34" spans="2:25" ht="24" customHeight="1">
      <c r="B34" s="51" t="s">
        <v>126</v>
      </c>
      <c r="C34" s="50">
        <v>5.6899999999999999E-2</v>
      </c>
      <c r="D34" s="46"/>
      <c r="E34" s="45">
        <v>25300</v>
      </c>
      <c r="F34" s="45">
        <v>24400</v>
      </c>
      <c r="G34" s="44">
        <v>580000</v>
      </c>
      <c r="H34" s="49">
        <v>1.52E-2</v>
      </c>
      <c r="I34" s="46"/>
      <c r="J34" s="45">
        <v>6700</v>
      </c>
      <c r="K34" s="45">
        <v>6700</v>
      </c>
      <c r="L34" s="48">
        <v>190000</v>
      </c>
      <c r="M34" s="47">
        <v>1.2200000000000001E-2</v>
      </c>
      <c r="N34" s="46"/>
      <c r="O34" s="45">
        <v>7200</v>
      </c>
      <c r="P34" s="45">
        <v>4700</v>
      </c>
      <c r="Q34" s="44">
        <v>160000</v>
      </c>
      <c r="R34" s="284"/>
      <c r="S34" s="285"/>
      <c r="T34" s="285"/>
      <c r="U34" s="285"/>
      <c r="V34" s="286"/>
      <c r="W34" s="86"/>
      <c r="X34" s="98"/>
      <c r="Y34" s="36"/>
    </row>
    <row r="35" spans="2:25" ht="24" customHeight="1">
      <c r="B35" s="51" t="s">
        <v>125</v>
      </c>
      <c r="C35" s="50">
        <v>5.8500000000000003E-2</v>
      </c>
      <c r="D35" s="46"/>
      <c r="E35" s="45">
        <v>25500</v>
      </c>
      <c r="F35" s="45">
        <v>23400</v>
      </c>
      <c r="G35" s="44">
        <v>610000</v>
      </c>
      <c r="H35" s="49">
        <v>1.6400000000000001E-2</v>
      </c>
      <c r="I35" s="46"/>
      <c r="J35" s="45">
        <v>7000</v>
      </c>
      <c r="K35" s="45">
        <v>6600</v>
      </c>
      <c r="L35" s="48">
        <v>190000</v>
      </c>
      <c r="M35" s="47">
        <v>1.34E-2</v>
      </c>
      <c r="N35" s="46"/>
      <c r="O35" s="45">
        <v>7600</v>
      </c>
      <c r="P35" s="45">
        <v>4700</v>
      </c>
      <c r="Q35" s="44">
        <v>160000</v>
      </c>
      <c r="R35" s="284"/>
      <c r="S35" s="285"/>
      <c r="T35" s="285"/>
      <c r="U35" s="285"/>
      <c r="V35" s="286"/>
      <c r="W35" s="86">
        <v>510000</v>
      </c>
      <c r="X35" s="98">
        <v>280000</v>
      </c>
      <c r="Y35" s="36">
        <v>330000</v>
      </c>
    </row>
    <row r="36" spans="2:25" ht="24" customHeight="1">
      <c r="B36" s="43" t="s">
        <v>124</v>
      </c>
      <c r="C36" s="42">
        <v>6.0299999999999999E-2</v>
      </c>
      <c r="D36" s="38"/>
      <c r="E36" s="37">
        <v>25900</v>
      </c>
      <c r="F36" s="37">
        <v>22500</v>
      </c>
      <c r="G36" s="36">
        <v>630000</v>
      </c>
      <c r="H36" s="41">
        <v>1.7899999999999999E-2</v>
      </c>
      <c r="I36" s="38"/>
      <c r="J36" s="37">
        <v>7500</v>
      </c>
      <c r="K36" s="37">
        <v>6600</v>
      </c>
      <c r="L36" s="40">
        <v>190000</v>
      </c>
      <c r="M36" s="39">
        <v>1.4999999999999999E-2</v>
      </c>
      <c r="N36" s="38"/>
      <c r="O36" s="37">
        <v>8200</v>
      </c>
      <c r="P36" s="37">
        <v>4800</v>
      </c>
      <c r="Q36" s="36">
        <v>170000</v>
      </c>
      <c r="R36" s="284"/>
      <c r="S36" s="285"/>
      <c r="T36" s="285"/>
      <c r="U36" s="285"/>
      <c r="V36" s="286"/>
      <c r="W36" s="86">
        <v>520000</v>
      </c>
      <c r="X36" s="98">
        <v>285000</v>
      </c>
      <c r="Y36" s="36">
        <v>330000</v>
      </c>
    </row>
    <row r="37" spans="2:25" ht="24" customHeight="1">
      <c r="B37" s="43" t="s">
        <v>123</v>
      </c>
      <c r="C37" s="42">
        <v>6.0699999999999997E-2</v>
      </c>
      <c r="D37" s="38"/>
      <c r="E37" s="37">
        <v>25700</v>
      </c>
      <c r="F37" s="37">
        <v>21200</v>
      </c>
      <c r="G37" s="36">
        <v>630000</v>
      </c>
      <c r="H37" s="41">
        <v>1.9699999999999999E-2</v>
      </c>
      <c r="I37" s="38"/>
      <c r="J37" s="37">
        <v>8100</v>
      </c>
      <c r="K37" s="37">
        <v>6700</v>
      </c>
      <c r="L37" s="40">
        <v>190000</v>
      </c>
      <c r="M37" s="39">
        <v>1.7500000000000002E-2</v>
      </c>
      <c r="N37" s="38"/>
      <c r="O37" s="37">
        <v>9300</v>
      </c>
      <c r="P37" s="37">
        <v>5200</v>
      </c>
      <c r="Q37" s="36">
        <v>170000</v>
      </c>
      <c r="R37" s="284"/>
      <c r="S37" s="285"/>
      <c r="T37" s="285"/>
      <c r="U37" s="285"/>
      <c r="V37" s="286"/>
      <c r="W37" s="86">
        <v>520000</v>
      </c>
      <c r="X37" s="98">
        <v>285000</v>
      </c>
      <c r="Y37" s="36">
        <v>430000</v>
      </c>
    </row>
    <row r="38" spans="2:25" ht="24" customHeight="1">
      <c r="B38" s="43" t="s">
        <v>122</v>
      </c>
      <c r="C38" s="42">
        <v>6.2300000000000001E-2</v>
      </c>
      <c r="D38" s="38"/>
      <c r="E38" s="37">
        <v>26400</v>
      </c>
      <c r="F38" s="37">
        <v>20200</v>
      </c>
      <c r="G38" s="36">
        <v>650000</v>
      </c>
      <c r="H38" s="41">
        <v>2.1299999999999999E-2</v>
      </c>
      <c r="I38" s="38"/>
      <c r="J38" s="37">
        <v>8800</v>
      </c>
      <c r="K38" s="37">
        <v>6700</v>
      </c>
      <c r="L38" s="40">
        <v>200000</v>
      </c>
      <c r="M38" s="39">
        <v>2.01E-2</v>
      </c>
      <c r="N38" s="38"/>
      <c r="O38" s="37">
        <v>10500</v>
      </c>
      <c r="P38" s="37">
        <v>5600</v>
      </c>
      <c r="Q38" s="36">
        <v>170000</v>
      </c>
      <c r="R38" s="284"/>
      <c r="S38" s="285"/>
      <c r="T38" s="285"/>
      <c r="U38" s="285"/>
      <c r="V38" s="286"/>
      <c r="W38" s="86">
        <v>520000</v>
      </c>
      <c r="X38" s="98">
        <v>285000</v>
      </c>
      <c r="Y38" s="36">
        <v>430000</v>
      </c>
    </row>
    <row r="39" spans="2:25" ht="24" customHeight="1">
      <c r="B39" s="43" t="s">
        <v>121</v>
      </c>
      <c r="C39" s="42">
        <v>6.3299999999999995E-2</v>
      </c>
      <c r="D39" s="38"/>
      <c r="E39" s="37">
        <v>26900</v>
      </c>
      <c r="F39" s="37">
        <v>20100</v>
      </c>
      <c r="G39" s="36">
        <v>650000</v>
      </c>
      <c r="H39" s="41">
        <v>2.2100000000000002E-2</v>
      </c>
      <c r="I39" s="38"/>
      <c r="J39" s="37">
        <v>9100</v>
      </c>
      <c r="K39" s="37">
        <v>6900</v>
      </c>
      <c r="L39" s="40">
        <v>220000</v>
      </c>
      <c r="M39" s="39">
        <v>2.06E-2</v>
      </c>
      <c r="N39" s="38"/>
      <c r="O39" s="37">
        <v>10700</v>
      </c>
      <c r="P39" s="37">
        <v>5700</v>
      </c>
      <c r="Q39" s="36">
        <v>170000</v>
      </c>
      <c r="R39" s="284"/>
      <c r="S39" s="285"/>
      <c r="T39" s="285"/>
      <c r="U39" s="285"/>
      <c r="V39" s="286"/>
      <c r="W39" s="86">
        <v>535000</v>
      </c>
      <c r="X39" s="98">
        <v>290000</v>
      </c>
      <c r="Y39" s="36">
        <v>430000</v>
      </c>
    </row>
    <row r="40" spans="2:25" ht="24" customHeight="1">
      <c r="B40" s="43" t="s">
        <v>120</v>
      </c>
      <c r="C40" s="42">
        <v>6.4299999999999996E-2</v>
      </c>
      <c r="D40" s="38"/>
      <c r="E40" s="37">
        <v>27400</v>
      </c>
      <c r="F40" s="37">
        <v>20100</v>
      </c>
      <c r="G40" s="36">
        <v>650000</v>
      </c>
      <c r="H40" s="41">
        <v>2.3099999999999999E-2</v>
      </c>
      <c r="I40" s="38"/>
      <c r="J40" s="37">
        <v>9500</v>
      </c>
      <c r="K40" s="37">
        <v>6900</v>
      </c>
      <c r="L40" s="40">
        <v>240000</v>
      </c>
      <c r="M40" s="39">
        <v>2.12E-2</v>
      </c>
      <c r="N40" s="38"/>
      <c r="O40" s="37">
        <v>11000</v>
      </c>
      <c r="P40" s="37">
        <v>5700</v>
      </c>
      <c r="Q40" s="36">
        <v>170000</v>
      </c>
      <c r="R40" s="284"/>
      <c r="S40" s="285"/>
      <c r="T40" s="285"/>
      <c r="U40" s="285"/>
      <c r="V40" s="286"/>
      <c r="W40" s="86">
        <v>545000</v>
      </c>
      <c r="X40" s="98">
        <v>295000</v>
      </c>
      <c r="Y40" s="36">
        <v>430000</v>
      </c>
    </row>
    <row r="41" spans="2:25" ht="24" customHeight="1">
      <c r="B41" s="43" t="s">
        <v>119</v>
      </c>
      <c r="C41" s="42">
        <v>6.9699999999999998E-2</v>
      </c>
      <c r="D41" s="38"/>
      <c r="E41" s="37">
        <v>29800</v>
      </c>
      <c r="F41" s="37">
        <v>20900</v>
      </c>
      <c r="G41" s="36">
        <v>660000</v>
      </c>
      <c r="H41" s="41">
        <v>2.4799999999999999E-2</v>
      </c>
      <c r="I41" s="38"/>
      <c r="J41" s="37">
        <v>10300</v>
      </c>
      <c r="K41" s="37">
        <v>7200</v>
      </c>
      <c r="L41" s="40">
        <v>260000</v>
      </c>
      <c r="M41" s="39">
        <v>2.1899999999999999E-2</v>
      </c>
      <c r="N41" s="38"/>
      <c r="O41" s="37">
        <v>11300</v>
      </c>
      <c r="P41" s="37">
        <v>5700</v>
      </c>
      <c r="Q41" s="36">
        <v>170000</v>
      </c>
      <c r="R41" s="287"/>
      <c r="S41" s="288"/>
      <c r="T41" s="288"/>
      <c r="U41" s="288"/>
      <c r="V41" s="289"/>
      <c r="W41" s="86">
        <v>560000</v>
      </c>
      <c r="X41" s="98">
        <v>305000</v>
      </c>
      <c r="Y41" s="36">
        <v>430000</v>
      </c>
    </row>
    <row r="42" spans="2:25" ht="24" customHeight="1">
      <c r="B42" s="43" t="s">
        <v>118</v>
      </c>
      <c r="C42" s="42">
        <v>7.6499999999999999E-2</v>
      </c>
      <c r="D42" s="38"/>
      <c r="E42" s="37">
        <v>32600</v>
      </c>
      <c r="F42" s="37">
        <v>21800</v>
      </c>
      <c r="G42" s="36">
        <v>670000</v>
      </c>
      <c r="H42" s="41">
        <v>2.6100000000000002E-2</v>
      </c>
      <c r="I42" s="38"/>
      <c r="J42" s="37">
        <v>10900</v>
      </c>
      <c r="K42" s="37">
        <v>7300</v>
      </c>
      <c r="L42" s="40">
        <v>260000</v>
      </c>
      <c r="M42" s="39">
        <v>2.2700000000000001E-2</v>
      </c>
      <c r="N42" s="38"/>
      <c r="O42" s="37">
        <v>11500</v>
      </c>
      <c r="P42" s="37">
        <v>5700</v>
      </c>
      <c r="Q42" s="36">
        <v>170000</v>
      </c>
      <c r="R42" s="39">
        <v>2.8999999999999998E-3</v>
      </c>
      <c r="S42" s="37">
        <v>1200</v>
      </c>
      <c r="T42" s="37">
        <v>800</v>
      </c>
      <c r="U42" s="37">
        <v>100</v>
      </c>
      <c r="V42" s="36">
        <v>30000</v>
      </c>
      <c r="W42" s="86">
        <v>570000</v>
      </c>
      <c r="X42" s="98">
        <v>310000</v>
      </c>
      <c r="Y42" s="36">
        <v>430000</v>
      </c>
    </row>
    <row r="43" spans="2:25" ht="24" customHeight="1">
      <c r="B43" s="43" t="s">
        <v>117</v>
      </c>
      <c r="C43" s="42"/>
      <c r="D43" s="38"/>
      <c r="E43" s="37"/>
      <c r="F43" s="37"/>
      <c r="G43" s="36"/>
      <c r="H43" s="41"/>
      <c r="I43" s="38"/>
      <c r="J43" s="37"/>
      <c r="K43" s="37"/>
      <c r="L43" s="40"/>
      <c r="M43" s="39"/>
      <c r="N43" s="38"/>
      <c r="O43" s="37"/>
      <c r="P43" s="37"/>
      <c r="Q43" s="36"/>
      <c r="R43" s="39"/>
      <c r="S43" s="37"/>
      <c r="T43" s="37"/>
      <c r="U43" s="37"/>
      <c r="V43" s="36"/>
      <c r="W43" s="86"/>
      <c r="X43" s="98"/>
      <c r="Y43" s="36"/>
    </row>
    <row r="44" spans="2:25" ht="24" customHeight="1">
      <c r="B44" s="43" t="s">
        <v>116</v>
      </c>
      <c r="C44" s="42"/>
      <c r="D44" s="38"/>
      <c r="E44" s="37"/>
      <c r="F44" s="37"/>
      <c r="G44" s="36"/>
      <c r="H44" s="41"/>
      <c r="I44" s="38"/>
      <c r="J44" s="37"/>
      <c r="K44" s="37"/>
      <c r="L44" s="40"/>
      <c r="M44" s="39"/>
      <c r="N44" s="38"/>
      <c r="O44" s="37"/>
      <c r="P44" s="37"/>
      <c r="Q44" s="36"/>
      <c r="R44" s="39"/>
      <c r="S44" s="37"/>
      <c r="T44" s="37"/>
      <c r="U44" s="37"/>
      <c r="V44" s="36"/>
      <c r="W44" s="86"/>
      <c r="X44" s="98"/>
      <c r="Y44" s="36"/>
    </row>
    <row r="45" spans="2:25" ht="24" customHeight="1">
      <c r="B45" s="43" t="s">
        <v>115</v>
      </c>
      <c r="C45" s="42"/>
      <c r="D45" s="38"/>
      <c r="E45" s="37"/>
      <c r="F45" s="37"/>
      <c r="G45" s="36"/>
      <c r="H45" s="41"/>
      <c r="I45" s="38"/>
      <c r="J45" s="37"/>
      <c r="K45" s="37"/>
      <c r="L45" s="40"/>
      <c r="M45" s="39"/>
      <c r="N45" s="38"/>
      <c r="O45" s="37"/>
      <c r="P45" s="37"/>
      <c r="Q45" s="36"/>
      <c r="R45" s="39"/>
      <c r="S45" s="37"/>
      <c r="T45" s="37"/>
      <c r="U45" s="37"/>
      <c r="V45" s="36"/>
      <c r="W45" s="86"/>
      <c r="X45" s="98"/>
      <c r="Y45" s="36"/>
    </row>
    <row r="46" spans="2:25" ht="24" customHeight="1">
      <c r="B46" s="43" t="s">
        <v>114</v>
      </c>
      <c r="C46" s="42"/>
      <c r="D46" s="38"/>
      <c r="E46" s="37"/>
      <c r="F46" s="37"/>
      <c r="G46" s="36"/>
      <c r="H46" s="41"/>
      <c r="I46" s="38"/>
      <c r="J46" s="37"/>
      <c r="K46" s="37"/>
      <c r="L46" s="40"/>
      <c r="M46" s="39"/>
      <c r="N46" s="38"/>
      <c r="O46" s="37"/>
      <c r="P46" s="37"/>
      <c r="Q46" s="36"/>
      <c r="R46" s="39"/>
      <c r="S46" s="37"/>
      <c r="T46" s="37"/>
      <c r="U46" s="37"/>
      <c r="V46" s="36"/>
      <c r="W46" s="86"/>
      <c r="X46" s="98"/>
      <c r="Y46" s="36"/>
    </row>
    <row r="47" spans="2:25" ht="24" customHeight="1">
      <c r="B47" s="43" t="s">
        <v>113</v>
      </c>
      <c r="C47" s="42"/>
      <c r="D47" s="38"/>
      <c r="E47" s="37"/>
      <c r="F47" s="37"/>
      <c r="G47" s="36"/>
      <c r="H47" s="41"/>
      <c r="I47" s="38"/>
      <c r="J47" s="37"/>
      <c r="K47" s="37"/>
      <c r="L47" s="40"/>
      <c r="M47" s="39"/>
      <c r="N47" s="38"/>
      <c r="O47" s="37"/>
      <c r="P47" s="37"/>
      <c r="Q47" s="36"/>
      <c r="R47" s="39"/>
      <c r="S47" s="37"/>
      <c r="T47" s="37"/>
      <c r="U47" s="37"/>
      <c r="V47" s="36"/>
      <c r="W47" s="87"/>
      <c r="X47" s="99"/>
      <c r="Y47" s="44"/>
    </row>
  </sheetData>
  <mergeCells count="10">
    <mergeCell ref="W3:Y3"/>
    <mergeCell ref="H5:L23"/>
    <mergeCell ref="M5:Q15"/>
    <mergeCell ref="B1:Q1"/>
    <mergeCell ref="B3:B4"/>
    <mergeCell ref="C3:G3"/>
    <mergeCell ref="H3:L3"/>
    <mergeCell ref="M3:Q3"/>
    <mergeCell ref="R3:V3"/>
    <mergeCell ref="R5:V41"/>
  </mergeCells>
  <phoneticPr fontId="2"/>
  <pageMargins left="0.70866141732283472" right="0.51181102362204722" top="0.35433070866141736" bottom="0.55118110236220474" header="0.31496062992125984" footer="0.31496062992125984"/>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9153F-6A6C-4933-99C6-F0A821F23D33}">
  <dimension ref="A2:A8"/>
  <sheetViews>
    <sheetView workbookViewId="0">
      <selection activeCell="A6" sqref="A6"/>
    </sheetView>
  </sheetViews>
  <sheetFormatPr defaultRowHeight="13.5"/>
  <sheetData>
    <row r="2" spans="1:1">
      <c r="A2" t="s">
        <v>84</v>
      </c>
    </row>
    <row r="3" spans="1:1">
      <c r="A3" t="s">
        <v>85</v>
      </c>
    </row>
    <row r="4" spans="1:1">
      <c r="A4" t="s">
        <v>195</v>
      </c>
    </row>
    <row r="5" spans="1:1">
      <c r="A5" t="s">
        <v>196</v>
      </c>
    </row>
    <row r="6" spans="1:1">
      <c r="A6" t="s">
        <v>86</v>
      </c>
    </row>
    <row r="7" spans="1:1">
      <c r="A7" t="s">
        <v>89</v>
      </c>
    </row>
    <row r="8" spans="1:1">
      <c r="A8" t="s">
        <v>88</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18D8F-2960-405E-840E-15368EBCDD66}">
  <dimension ref="A1:F19"/>
  <sheetViews>
    <sheetView workbookViewId="0">
      <selection activeCell="B2" sqref="B2"/>
    </sheetView>
  </sheetViews>
  <sheetFormatPr defaultRowHeight="13.5"/>
  <cols>
    <col min="1" max="1" width="14.125" style="90" bestFit="1" customWidth="1"/>
    <col min="2" max="16384" width="9" style="90"/>
  </cols>
  <sheetData>
    <row r="1" spans="1:6" ht="21.75" thickBot="1">
      <c r="A1" s="89" t="s">
        <v>108</v>
      </c>
    </row>
    <row r="2" spans="1:6" ht="21.75" thickBot="1">
      <c r="A2" s="91" t="s">
        <v>109</v>
      </c>
      <c r="B2" s="88" t="s">
        <v>118</v>
      </c>
      <c r="C2" s="90" t="str">
        <f>IF(LEFT(B2,1)="R","令和"&amp;SUBSTITUTE(SUBSTITUTE(SUBSTITUTE(B2,"S",""),"H",""),"R","")&amp;"年度","平成"&amp;SUBSTITUTE(SUBSTITUTE(SUBSTITUTE(B2,"S",""),"H",""),"R","")&amp;"年度")</f>
        <v>令和8年度</v>
      </c>
      <c r="F2" s="92"/>
    </row>
    <row r="3" spans="1:6">
      <c r="A3" s="92"/>
      <c r="B3" s="92"/>
      <c r="C3" s="92"/>
      <c r="D3" s="92"/>
      <c r="E3" s="92"/>
    </row>
    <row r="4" spans="1:6">
      <c r="A4" s="93" t="s">
        <v>110</v>
      </c>
      <c r="B4" s="93" t="s">
        <v>78</v>
      </c>
      <c r="C4" s="93" t="s">
        <v>79</v>
      </c>
      <c r="D4" s="93" t="s">
        <v>80</v>
      </c>
      <c r="E4" s="93" t="s">
        <v>194</v>
      </c>
    </row>
    <row r="5" spans="1:6">
      <c r="A5" s="93" t="s">
        <v>81</v>
      </c>
      <c r="B5" s="94">
        <f>IFERROR(INDEX(国保税率!$C:$C,MATCH($B$2,国保税率!$B:$B,0),1),0)*100</f>
        <v>7.6499999999999995</v>
      </c>
      <c r="C5" s="94">
        <f>IFERROR(INDEX(国保税率!$H:$H,MATCH($B$2,国保税率!$B:$B,0),1),0)*100</f>
        <v>2.6100000000000003</v>
      </c>
      <c r="D5" s="94">
        <f>IFERROR(INDEX(国保税率!$M:$M,MATCH($B$2,国保税率!$B:$B,0),1),0)*100</f>
        <v>2.27</v>
      </c>
      <c r="E5" s="94">
        <f>IFERROR(INDEX(国保税率!$R:$R,MATCH($B$2,国保税率!$B:$B,0),1),0)*100</f>
        <v>0.28999999999999998</v>
      </c>
    </row>
    <row r="6" spans="1:6">
      <c r="A6" s="93" t="s">
        <v>171</v>
      </c>
      <c r="B6" s="94">
        <f>IFERROR(INDEX(国保税率!$D:$D,MATCH($B$2,国保税率!$B:$B,0),1),0)*100</f>
        <v>0</v>
      </c>
      <c r="C6" s="94">
        <f>IFERROR(INDEX(国保税率!$I:$I,MATCH($B$2,国保税率!$B:$B,0),1),0)*100</f>
        <v>0</v>
      </c>
      <c r="D6" s="94">
        <f>IFERROR(INDEX(国保税率!$N:$N,MATCH($B$2,国保税率!$B:$B,0),1),0)*100</f>
        <v>0</v>
      </c>
      <c r="E6" s="94">
        <v>0</v>
      </c>
    </row>
    <row r="7" spans="1:6">
      <c r="A7" s="93" t="s">
        <v>111</v>
      </c>
      <c r="B7" s="95">
        <f>IFERROR(INDEX(国保税率!$E:$E,MATCH($B$2,国保税率!$B:$B,0),1),0)</f>
        <v>32600</v>
      </c>
      <c r="C7" s="95">
        <f>IFERROR(INDEX(国保税率!$J:$J,MATCH($B$2,国保税率!$B:$B,0),1),0)</f>
        <v>10900</v>
      </c>
      <c r="D7" s="95">
        <f>IFERROR(INDEX(国保税率!$O:$O,MATCH($B$2,国保税率!$B:$B,0),1),0)</f>
        <v>11500</v>
      </c>
      <c r="E7" s="95">
        <f>IFERROR(INDEX(国保税率!$S:$S,MATCH($B$2,国保税率!$B:$B,0),1),0)</f>
        <v>1200</v>
      </c>
    </row>
    <row r="8" spans="1:6">
      <c r="A8" s="93" t="s">
        <v>83</v>
      </c>
      <c r="B8" s="95">
        <f>IFERROR(INDEX(国保税率!$F:$F,MATCH($B$2,国保税率!$B:$B,0),1),0)</f>
        <v>21800</v>
      </c>
      <c r="C8" s="95">
        <f>IFERROR(INDEX(国保税率!$K:$K,MATCH($B$2,国保税率!$B:$B,0),1),0)</f>
        <v>7300</v>
      </c>
      <c r="D8" s="95">
        <f>IFERROR(INDEX(国保税率!$P:$P,MATCH($B$2,国保税率!$B:$B,0),1),0)</f>
        <v>5700</v>
      </c>
      <c r="E8" s="95">
        <f>IFERROR(INDEX(国保税率!$T:$T,MATCH($B$2,国保税率!$B:$B,0),1),0)</f>
        <v>800</v>
      </c>
    </row>
    <row r="9" spans="1:6">
      <c r="A9" s="219" t="s">
        <v>193</v>
      </c>
      <c r="B9" s="95">
        <v>0</v>
      </c>
      <c r="C9" s="95">
        <v>0</v>
      </c>
      <c r="D9" s="95">
        <v>0</v>
      </c>
      <c r="E9" s="95">
        <f>IFERROR(INDEX(国保税率!$U:$U,MATCH($B$2,国保税率!$B:$B,0),1),0)</f>
        <v>100</v>
      </c>
    </row>
    <row r="10" spans="1:6">
      <c r="A10" s="93" t="s">
        <v>112</v>
      </c>
      <c r="B10" s="95">
        <f>IFERROR(INDEX(国保税率!$G:$G,MATCH($B$2,国保税率!$B:$B,0),1),0)</f>
        <v>670000</v>
      </c>
      <c r="C10" s="95">
        <f>IFERROR(INDEX(国保税率!$L:$L,MATCH($B$2,国保税率!$B:$B,0),1),0)</f>
        <v>260000</v>
      </c>
      <c r="D10" s="95">
        <f>IFERROR(INDEX(国保税率!$Q:$Q,MATCH($B$2,国保税率!$B:$B,0),1),0)</f>
        <v>170000</v>
      </c>
      <c r="E10" s="95">
        <f>IFERROR(INDEX(国保税率!$V:$V,MATCH($B$2,国保税率!$B:$B,0),1),0)</f>
        <v>30000</v>
      </c>
    </row>
    <row r="11" spans="1:6">
      <c r="A11" s="96"/>
      <c r="B11" s="92"/>
      <c r="C11" s="92"/>
      <c r="D11" s="92"/>
      <c r="E11" s="92"/>
    </row>
    <row r="12" spans="1:6">
      <c r="A12" s="93" t="s">
        <v>36</v>
      </c>
      <c r="B12" s="94"/>
      <c r="C12" s="92"/>
      <c r="D12" s="92"/>
      <c r="E12" s="92"/>
    </row>
    <row r="13" spans="1:6">
      <c r="A13" s="93" t="s">
        <v>55</v>
      </c>
      <c r="B13" s="95">
        <f>IFERROR(INDEX(国保税率!$W:$W,MATCH($B$2,国保税率!$B:$B,0),1),0)</f>
        <v>570000</v>
      </c>
      <c r="C13" s="92"/>
      <c r="D13" s="92"/>
      <c r="E13" s="92"/>
    </row>
    <row r="14" spans="1:6">
      <c r="A14" s="93" t="s">
        <v>56</v>
      </c>
      <c r="B14" s="95">
        <f>IFERROR(INDEX(国保税率!$X:$X,MATCH($B$2,国保税率!$B:$B,0),1),0)</f>
        <v>310000</v>
      </c>
      <c r="C14" s="92"/>
      <c r="D14" s="92"/>
      <c r="E14" s="92"/>
    </row>
    <row r="15" spans="1:6">
      <c r="A15" s="96"/>
      <c r="B15" s="92"/>
      <c r="C15" s="92"/>
      <c r="D15" s="92"/>
      <c r="E15" s="92"/>
    </row>
    <row r="16" spans="1:6">
      <c r="A16" s="93"/>
      <c r="B16" s="94" t="s">
        <v>210</v>
      </c>
      <c r="C16" s="94" t="s">
        <v>211</v>
      </c>
      <c r="D16" s="92"/>
      <c r="E16" s="92"/>
    </row>
    <row r="17" spans="1:5">
      <c r="A17" s="93" t="s">
        <v>182</v>
      </c>
      <c r="B17" s="253" t="str">
        <f>TEXT(EDATE(VALUE(B2&amp;"/4/2"),-72),"ggge年m月d日以降生まれ")</f>
        <v>令和2年4月2日以降生まれ</v>
      </c>
      <c r="C17" s="253" t="str">
        <f>TEXT(EDATE(VALUE(B2&amp;"/4/2"),-216),"ggge年m月d日以降生まれ")</f>
        <v>平成20年4月2日以降生まれ</v>
      </c>
      <c r="D17" s="92"/>
      <c r="E17" s="92"/>
    </row>
    <row r="19" spans="1:5">
      <c r="A19" s="94" t="s">
        <v>183</v>
      </c>
      <c r="B19" s="95">
        <f>IFERROR(INDEX(国保税率!$Y:$Y,MATCH($B$2,国保税率!$B:$B,0),1),0)</f>
        <v>430000</v>
      </c>
    </row>
  </sheetData>
  <sheetProtection sheet="1" objects="1" scenarios="1"/>
  <phoneticPr fontId="2"/>
  <dataValidations count="1">
    <dataValidation type="list" allowBlank="1" showInputMessage="1" showErrorMessage="1" sqref="B2" xr:uid="{7C3BC7AD-C6ED-4C11-91C2-D667785D9EF1}">
      <formula1>年度</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E291C-3EA3-403F-A89D-ACC54EC048F1}">
  <dimension ref="A3:G26"/>
  <sheetViews>
    <sheetView tabSelected="1" view="pageBreakPreview" zoomScaleNormal="100" zoomScaleSheetLayoutView="100" workbookViewId="0">
      <selection activeCell="B13" sqref="B13"/>
    </sheetView>
  </sheetViews>
  <sheetFormatPr defaultRowHeight="13.5"/>
  <cols>
    <col min="1" max="1" width="9.125" bestFit="1" customWidth="1"/>
    <col min="2" max="2" width="13.25" customWidth="1"/>
    <col min="3" max="3" width="10.75" customWidth="1"/>
    <col min="4" max="6" width="14.625" customWidth="1"/>
    <col min="7" max="7" width="18.625" customWidth="1"/>
    <col min="8" max="8" width="8.875" customWidth="1"/>
    <col min="9" max="9" width="4.5" customWidth="1"/>
    <col min="10" max="10" width="6.375" customWidth="1"/>
    <col min="11" max="11" width="12.5" customWidth="1"/>
    <col min="12" max="12" width="8.875" customWidth="1"/>
  </cols>
  <sheetData>
    <row r="3" spans="1:7" ht="21">
      <c r="B3" s="5" t="str">
        <f>職員設定用!C2</f>
        <v>令和8年度</v>
      </c>
      <c r="D3" s="5" t="s">
        <v>99</v>
      </c>
    </row>
    <row r="5" spans="1:7" ht="18.95" customHeight="1">
      <c r="B5" s="4" t="s">
        <v>101</v>
      </c>
    </row>
    <row r="6" spans="1:7" ht="18.95" customHeight="1">
      <c r="B6" s="4" t="s">
        <v>102</v>
      </c>
    </row>
    <row r="7" spans="1:7" ht="18.95" customHeight="1">
      <c r="B7" s="4" t="s">
        <v>103</v>
      </c>
    </row>
    <row r="8" spans="1:7" ht="18.95" customHeight="1">
      <c r="B8" s="4" t="s">
        <v>104</v>
      </c>
    </row>
    <row r="9" spans="1:7" ht="18.95" customHeight="1">
      <c r="B9" s="4" t="s">
        <v>105</v>
      </c>
    </row>
    <row r="10" spans="1:7" ht="18.95" customHeight="1">
      <c r="B10" s="4" t="str">
        <f>IFERROR(IF(職員設定用!E9&gt;0,"・子ども分の均等割には18歳以上均等割の額が含まれます。",""),"")</f>
        <v>・子ども分の均等割には18歳以上均等割の額が含まれます。</v>
      </c>
    </row>
    <row r="11" spans="1:7" ht="17.25">
      <c r="A11" s="2" t="s">
        <v>75</v>
      </c>
      <c r="B11" s="4"/>
      <c r="C11" s="4"/>
      <c r="D11" s="4"/>
      <c r="E11" s="4"/>
      <c r="F11" s="4"/>
      <c r="G11" s="4"/>
    </row>
    <row r="12" spans="1:7" ht="33.75" thickBot="1">
      <c r="A12" s="31"/>
      <c r="B12" s="6" t="s">
        <v>77</v>
      </c>
      <c r="C12" s="6" t="s">
        <v>90</v>
      </c>
      <c r="D12" s="6" t="s">
        <v>91</v>
      </c>
      <c r="E12" s="6" t="s">
        <v>92</v>
      </c>
      <c r="F12" s="6" t="s">
        <v>93</v>
      </c>
      <c r="G12" s="7" t="s">
        <v>94</v>
      </c>
    </row>
    <row r="13" spans="1:7" ht="20.100000000000001" customHeight="1">
      <c r="A13" s="3" t="s">
        <v>76</v>
      </c>
      <c r="B13" s="19"/>
      <c r="C13" s="20"/>
      <c r="D13" s="21"/>
      <c r="E13" s="21"/>
      <c r="F13" s="22"/>
      <c r="G13" s="1">
        <f>SUM(D13:F13)</f>
        <v>0</v>
      </c>
    </row>
    <row r="14" spans="1:7" ht="20.100000000000001" customHeight="1">
      <c r="A14" s="3">
        <v>1</v>
      </c>
      <c r="B14" s="23"/>
      <c r="C14" s="24"/>
      <c r="D14" s="25"/>
      <c r="E14" s="25"/>
      <c r="F14" s="26"/>
      <c r="G14" s="1">
        <f>SUM(D14:F14)</f>
        <v>0</v>
      </c>
    </row>
    <row r="15" spans="1:7" ht="20.100000000000001" customHeight="1">
      <c r="A15" s="3">
        <v>2</v>
      </c>
      <c r="B15" s="23"/>
      <c r="C15" s="24"/>
      <c r="D15" s="25"/>
      <c r="E15" s="25"/>
      <c r="F15" s="26"/>
      <c r="G15" s="1">
        <f t="shared" ref="G15:G16" si="0">SUM(D15:F15)</f>
        <v>0</v>
      </c>
    </row>
    <row r="16" spans="1:7" ht="20.100000000000001" customHeight="1" thickBot="1">
      <c r="A16" s="3">
        <v>3</v>
      </c>
      <c r="B16" s="27"/>
      <c r="C16" s="28"/>
      <c r="D16" s="29"/>
      <c r="E16" s="29"/>
      <c r="F16" s="30"/>
      <c r="G16" s="1">
        <f t="shared" si="0"/>
        <v>0</v>
      </c>
    </row>
    <row r="17" spans="1:7" ht="17.25">
      <c r="A17" s="4"/>
      <c r="B17" s="4"/>
      <c r="C17" s="4"/>
      <c r="D17" s="4"/>
      <c r="E17" s="4"/>
      <c r="F17" s="4"/>
      <c r="G17" s="4"/>
    </row>
    <row r="18" spans="1:7" ht="17.25">
      <c r="B18" s="4"/>
      <c r="C18" s="13"/>
      <c r="D18" s="13" t="str">
        <f>B3</f>
        <v>令和8年度</v>
      </c>
      <c r="E18" s="14" t="s">
        <v>100</v>
      </c>
      <c r="F18" s="4"/>
      <c r="G18" s="4"/>
    </row>
    <row r="19" spans="1:7" ht="23.25" customHeight="1">
      <c r="A19" s="4"/>
      <c r="C19" s="15"/>
      <c r="D19" s="8" t="s">
        <v>81</v>
      </c>
      <c r="E19" s="8" t="s">
        <v>82</v>
      </c>
      <c r="F19" s="8" t="s">
        <v>83</v>
      </c>
      <c r="G19" s="8" t="s">
        <v>87</v>
      </c>
    </row>
    <row r="20" spans="1:7" ht="23.25" customHeight="1">
      <c r="C20" s="16" t="s">
        <v>78</v>
      </c>
      <c r="D20" s="9">
        <f>SUM(計算用!Q24:T27)</f>
        <v>0</v>
      </c>
      <c r="E20" s="9">
        <f>計算用!Q30+計算用!Q31-計算用!Q32</f>
        <v>0</v>
      </c>
      <c r="F20" s="9">
        <f>計算用!Q34-計算用!Q35</f>
        <v>0</v>
      </c>
      <c r="G20" s="9">
        <f>計算用!Q36</f>
        <v>0</v>
      </c>
    </row>
    <row r="21" spans="1:7" ht="23.25" customHeight="1">
      <c r="C21" s="16" t="s">
        <v>79</v>
      </c>
      <c r="D21" s="9">
        <f>SUM(計算用!AM24:AP27)</f>
        <v>0</v>
      </c>
      <c r="E21" s="9">
        <f>計算用!AM30+計算用!AM31-計算用!AM32</f>
        <v>0</v>
      </c>
      <c r="F21" s="9">
        <f>計算用!AM34-計算用!AM35</f>
        <v>0</v>
      </c>
      <c r="G21" s="9">
        <f>計算用!AM36</f>
        <v>0</v>
      </c>
    </row>
    <row r="22" spans="1:7" ht="23.25" customHeight="1">
      <c r="C22" s="16" t="s">
        <v>80</v>
      </c>
      <c r="D22" s="9">
        <f>SUM(計算用!BI24:BL27)</f>
        <v>0</v>
      </c>
      <c r="E22" s="9">
        <f>計算用!BI30-計算用!BI32</f>
        <v>0</v>
      </c>
      <c r="F22" s="10">
        <f>計算用!BI34-計算用!BI35</f>
        <v>0</v>
      </c>
      <c r="G22" s="10">
        <f>計算用!BI36</f>
        <v>0</v>
      </c>
    </row>
    <row r="23" spans="1:7" ht="23.25" customHeight="1" thickBot="1">
      <c r="C23" s="16" t="s">
        <v>194</v>
      </c>
      <c r="D23" s="9">
        <f>SUM(計算用!CE24:CE27)</f>
        <v>0</v>
      </c>
      <c r="E23" s="9">
        <f>計算用!CE30+計算用!CE31-計算用!CE32</f>
        <v>0</v>
      </c>
      <c r="F23" s="10">
        <f>計算用!CE34-計算用!CE35</f>
        <v>0</v>
      </c>
      <c r="G23" s="10">
        <f>計算用!CE36</f>
        <v>0</v>
      </c>
    </row>
    <row r="24" spans="1:7" ht="23.25" customHeight="1">
      <c r="A24" s="4"/>
      <c r="D24" s="4"/>
      <c r="E24" s="4"/>
      <c r="F24" s="17" t="s">
        <v>96</v>
      </c>
      <c r="G24" s="11">
        <f>SUM(G20:G23)</f>
        <v>0</v>
      </c>
    </row>
    <row r="25" spans="1:7" ht="22.7" customHeight="1" thickBot="1">
      <c r="A25" s="4"/>
      <c r="D25" s="4"/>
      <c r="E25" s="4"/>
      <c r="F25" s="18" t="s">
        <v>97</v>
      </c>
      <c r="G25" s="12">
        <f>ROUNDUP(G24/12,-2)</f>
        <v>0</v>
      </c>
    </row>
    <row r="26" spans="1:7" ht="60" customHeight="1">
      <c r="A26" s="4"/>
      <c r="B26" s="4"/>
      <c r="C26" s="4"/>
      <c r="D26" s="4"/>
      <c r="E26" s="4"/>
      <c r="F26" s="255" t="s">
        <v>98</v>
      </c>
      <c r="G26" s="255"/>
    </row>
  </sheetData>
  <sheetProtection algorithmName="SHA-512" hashValue="icBLttvtA+w+Oxpx4qK3SrKSOYAo3C6we/Czj6eX+BTE+AvS4aKu2g19xWX1kMuLZ+eizx86mwOkDG96+tjmPg==" saltValue="H11pG4qyD8HPW8F88J+9dg==" spinCount="100000" sheet="1" objects="1" scenarios="1" selectLockedCells="1"/>
  <mergeCells count="1">
    <mergeCell ref="F26:G26"/>
  </mergeCells>
  <phoneticPr fontId="2"/>
  <dataValidations count="1">
    <dataValidation type="list" allowBlank="1" showInputMessage="1" showErrorMessage="1" sqref="C13:C16" xr:uid="{E999238F-E049-41E9-A6C3-5A0F1B218F3E}">
      <formula1>"〇"</formula1>
    </dataValidation>
  </dataValidations>
  <pageMargins left="0.7" right="0.7" top="0.75" bottom="0.75" header="0.3" footer="0.3"/>
  <pageSetup paperSize="9" scale="83" orientation="landscape" r:id="rId1"/>
  <colBreaks count="1" manualBreakCount="1">
    <brk id="9"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1456BF9-86F7-438E-B9CA-2A7A18413F78}">
          <x14:formula1>
            <xm:f>リスト!$A$3:$A$8</xm:f>
          </x14:formula1>
          <xm:sqref>B13:B16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C67"/>
  <sheetViews>
    <sheetView view="pageBreakPreview" zoomScale="80" zoomScaleNormal="100" zoomScaleSheetLayoutView="80" workbookViewId="0">
      <selection activeCell="V10" sqref="V10:AE10"/>
    </sheetView>
  </sheetViews>
  <sheetFormatPr defaultColWidth="9" defaultRowHeight="13.5"/>
  <cols>
    <col min="1" max="89" width="2.125" style="108" customWidth="1"/>
    <col min="90" max="90" width="7.875" style="108" bestFit="1" customWidth="1"/>
    <col min="91" max="16384" width="9" style="108"/>
  </cols>
  <sheetData>
    <row r="1" spans="1:107" ht="27" customHeight="1" thickBot="1">
      <c r="A1" s="104"/>
      <c r="B1" s="105"/>
      <c r="C1" s="105"/>
      <c r="D1" s="105"/>
      <c r="E1" s="105"/>
      <c r="F1" s="105"/>
      <c r="G1" s="105"/>
      <c r="H1" s="105"/>
      <c r="I1" s="106" t="str">
        <f>職員設定用!C2</f>
        <v>令和8年度</v>
      </c>
      <c r="J1" s="105"/>
      <c r="K1" s="105"/>
      <c r="L1" s="105"/>
      <c r="M1" s="105"/>
      <c r="N1" s="105"/>
      <c r="O1" s="105"/>
      <c r="P1" s="107" t="s">
        <v>95</v>
      </c>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221"/>
      <c r="BP1" s="221"/>
      <c r="BQ1" s="221"/>
      <c r="BR1" s="221"/>
      <c r="BS1" s="221"/>
      <c r="BT1" s="221"/>
      <c r="BU1" s="221"/>
      <c r="BV1" s="221"/>
      <c r="BW1" s="221"/>
      <c r="BX1" s="221"/>
      <c r="BY1" s="221"/>
      <c r="BZ1" s="221"/>
      <c r="CA1" s="221"/>
      <c r="CB1" s="221"/>
      <c r="CC1" s="221"/>
      <c r="CD1" s="221"/>
      <c r="CE1" s="221"/>
      <c r="CF1" s="221"/>
      <c r="CG1" s="221"/>
      <c r="CH1" s="221"/>
      <c r="CI1" s="221"/>
      <c r="CJ1" s="222"/>
    </row>
    <row r="2" spans="1:107" ht="18" customHeight="1" thickBot="1">
      <c r="A2" s="109"/>
      <c r="B2" s="290" t="s">
        <v>70</v>
      </c>
      <c r="C2" s="290"/>
      <c r="D2" s="290"/>
      <c r="E2" s="290"/>
      <c r="F2" s="290"/>
      <c r="G2" s="290"/>
      <c r="H2" s="290"/>
      <c r="I2" s="290"/>
      <c r="J2" s="290"/>
      <c r="K2" s="290"/>
      <c r="L2" s="110"/>
      <c r="M2" s="225"/>
      <c r="N2" s="225"/>
      <c r="O2" s="225"/>
      <c r="P2" s="225"/>
      <c r="Q2" s="225"/>
      <c r="R2" s="225"/>
      <c r="S2" s="225"/>
      <c r="T2" s="225"/>
      <c r="U2" s="225"/>
      <c r="V2" s="225"/>
      <c r="W2" s="225"/>
      <c r="X2" s="225"/>
      <c r="Y2" s="225"/>
      <c r="Z2" s="225"/>
      <c r="AA2" s="225"/>
      <c r="AB2" s="225"/>
      <c r="AC2" s="225"/>
      <c r="AD2" s="110"/>
      <c r="AG2" s="112"/>
      <c r="AH2" s="113"/>
      <c r="AI2" s="113"/>
      <c r="AJ2" s="113"/>
      <c r="AK2" s="113"/>
      <c r="AL2" s="113"/>
      <c r="AM2" s="113"/>
      <c r="AN2" s="113"/>
      <c r="AO2" s="113" t="str">
        <f>I1</f>
        <v>令和8年度</v>
      </c>
      <c r="AP2" s="113"/>
      <c r="AQ2" s="113"/>
      <c r="AR2" s="113"/>
      <c r="AS2" s="113"/>
      <c r="AT2" s="113" t="s">
        <v>204</v>
      </c>
      <c r="AU2" s="113"/>
      <c r="AV2" s="113"/>
      <c r="AW2" s="113"/>
      <c r="AX2" s="113"/>
      <c r="AY2" s="113"/>
      <c r="AZ2" s="113"/>
      <c r="BA2" s="237"/>
      <c r="BB2" s="237"/>
      <c r="BC2" s="238"/>
      <c r="BD2" s="238"/>
      <c r="BE2" s="239"/>
      <c r="BI2" s="111"/>
      <c r="BJ2" s="111"/>
      <c r="BY2" s="111"/>
      <c r="BZ2" s="111"/>
      <c r="CA2" s="140" t="s">
        <v>37</v>
      </c>
      <c r="CB2" s="111"/>
      <c r="CC2" s="111"/>
      <c r="CD2" s="111"/>
      <c r="CE2" s="111"/>
      <c r="CF2" s="111"/>
      <c r="CG2" s="111"/>
      <c r="CH2" s="111"/>
      <c r="CJ2" s="241"/>
      <c r="CK2" s="225"/>
      <c r="CL2" s="225"/>
      <c r="CM2" s="225"/>
      <c r="CN2" s="225"/>
      <c r="CO2" s="225"/>
      <c r="CP2" s="225"/>
      <c r="CQ2" s="225"/>
      <c r="CR2" s="225"/>
      <c r="CS2" s="225"/>
      <c r="CT2" s="225"/>
      <c r="CU2" s="225"/>
      <c r="CV2" s="225"/>
      <c r="CW2" s="225"/>
      <c r="CX2" s="225"/>
      <c r="CY2" s="225"/>
      <c r="CZ2" s="154"/>
      <c r="DB2" s="114" t="s">
        <v>47</v>
      </c>
      <c r="DC2" s="115"/>
    </row>
    <row r="3" spans="1:107" ht="18" customHeight="1" thickTop="1">
      <c r="A3" s="109"/>
      <c r="B3" s="292" t="s">
        <v>0</v>
      </c>
      <c r="C3" s="293"/>
      <c r="D3" s="293"/>
      <c r="E3" s="293"/>
      <c r="F3" s="293"/>
      <c r="G3" s="293"/>
      <c r="H3" s="293"/>
      <c r="I3" s="293"/>
      <c r="J3" s="293"/>
      <c r="K3" s="294"/>
      <c r="L3" s="292" t="s">
        <v>38</v>
      </c>
      <c r="M3" s="293"/>
      <c r="N3" s="293"/>
      <c r="O3" s="293"/>
      <c r="P3" s="293"/>
      <c r="Q3" s="293"/>
      <c r="R3" s="293"/>
      <c r="S3" s="293"/>
      <c r="T3" s="293"/>
      <c r="U3" s="294"/>
      <c r="V3" s="292" t="s">
        <v>199</v>
      </c>
      <c r="W3" s="293"/>
      <c r="X3" s="293"/>
      <c r="Y3" s="293"/>
      <c r="Z3" s="293"/>
      <c r="AA3" s="293"/>
      <c r="AB3" s="293"/>
      <c r="AC3" s="293"/>
      <c r="AD3" s="293"/>
      <c r="AE3" s="294"/>
      <c r="AG3" s="305"/>
      <c r="AH3" s="306"/>
      <c r="AI3" s="306"/>
      <c r="AJ3" s="306"/>
      <c r="AK3" s="307"/>
      <c r="AL3" s="412" t="s">
        <v>23</v>
      </c>
      <c r="AM3" s="413"/>
      <c r="AN3" s="413"/>
      <c r="AO3" s="413"/>
      <c r="AP3" s="413"/>
      <c r="AQ3" s="413"/>
      <c r="AR3" s="413"/>
      <c r="AS3" s="413"/>
      <c r="AT3" s="413"/>
      <c r="AU3" s="413"/>
      <c r="AV3" s="413"/>
      <c r="AW3" s="413"/>
      <c r="AX3" s="413"/>
      <c r="AY3" s="413"/>
      <c r="AZ3" s="413"/>
      <c r="BA3" s="414"/>
      <c r="BB3" s="414"/>
      <c r="BC3" s="414"/>
      <c r="BD3" s="414"/>
      <c r="BE3" s="415"/>
      <c r="BI3" s="111"/>
      <c r="BJ3" s="111"/>
      <c r="BY3" s="402" t="s">
        <v>27</v>
      </c>
      <c r="BZ3" s="403"/>
      <c r="CA3" s="403"/>
      <c r="CB3" s="403"/>
      <c r="CC3" s="403"/>
      <c r="CD3" s="403"/>
      <c r="CE3" s="403"/>
      <c r="CF3" s="403"/>
      <c r="CG3" s="403"/>
      <c r="CH3" s="404"/>
      <c r="CJ3" s="242"/>
      <c r="CK3"/>
      <c r="CL3"/>
      <c r="CM3"/>
      <c r="CN3"/>
      <c r="CO3"/>
      <c r="CP3"/>
      <c r="CQ3"/>
      <c r="CR3"/>
      <c r="CS3"/>
      <c r="CT3"/>
      <c r="CU3"/>
      <c r="CV3"/>
      <c r="CW3"/>
      <c r="CX3"/>
      <c r="CY3"/>
      <c r="CZ3" s="154"/>
      <c r="DB3" s="117" t="s">
        <v>54</v>
      </c>
      <c r="DC3" s="115"/>
    </row>
    <row r="4" spans="1:107" ht="18" customHeight="1">
      <c r="A4" s="109"/>
      <c r="B4" s="311" t="s">
        <v>40</v>
      </c>
      <c r="C4" s="312"/>
      <c r="D4" s="313"/>
      <c r="E4" s="314">
        <f>IF(国民健康保険税試算シート!C13="〇",国民健康保険税試算シート!G13,0)</f>
        <v>0</v>
      </c>
      <c r="F4" s="315"/>
      <c r="G4" s="315"/>
      <c r="H4" s="315"/>
      <c r="I4" s="315"/>
      <c r="J4" s="315"/>
      <c r="K4" s="118" t="s">
        <v>1</v>
      </c>
      <c r="L4" s="311" t="s">
        <v>40</v>
      </c>
      <c r="M4" s="312"/>
      <c r="N4" s="313"/>
      <c r="O4" s="314">
        <f>IF(AND(国民健康保険税試算シート!B13="40～64歳",国民健康保険税試算シート!C13="〇"),E4,0)</f>
        <v>0</v>
      </c>
      <c r="P4" s="315"/>
      <c r="Q4" s="315"/>
      <c r="R4" s="315"/>
      <c r="S4" s="315"/>
      <c r="T4" s="315"/>
      <c r="U4" s="118" t="s">
        <v>1</v>
      </c>
      <c r="V4" s="311" t="s">
        <v>40</v>
      </c>
      <c r="W4" s="312"/>
      <c r="X4" s="313"/>
      <c r="Y4" s="314">
        <f>E4</f>
        <v>0</v>
      </c>
      <c r="Z4" s="315"/>
      <c r="AA4" s="315"/>
      <c r="AB4" s="315"/>
      <c r="AC4" s="315"/>
      <c r="AD4" s="315"/>
      <c r="AE4" s="118" t="s">
        <v>1</v>
      </c>
      <c r="AG4" s="308"/>
      <c r="AH4" s="309"/>
      <c r="AI4" s="309"/>
      <c r="AJ4" s="309"/>
      <c r="AK4" s="310"/>
      <c r="AL4" s="376" t="s">
        <v>17</v>
      </c>
      <c r="AM4" s="376"/>
      <c r="AN4" s="376"/>
      <c r="AO4" s="376"/>
      <c r="AP4" s="409"/>
      <c r="AQ4" s="375" t="s">
        <v>20</v>
      </c>
      <c r="AR4" s="376"/>
      <c r="AS4" s="376"/>
      <c r="AT4" s="376"/>
      <c r="AU4" s="409"/>
      <c r="AV4" s="375" t="s">
        <v>21</v>
      </c>
      <c r="AW4" s="376"/>
      <c r="AX4" s="376"/>
      <c r="AY4" s="376"/>
      <c r="AZ4" s="376"/>
      <c r="BA4" s="375" t="s">
        <v>199</v>
      </c>
      <c r="BB4" s="376"/>
      <c r="BC4" s="376"/>
      <c r="BD4" s="376"/>
      <c r="BE4" s="537"/>
      <c r="BI4" s="111"/>
      <c r="BJ4" s="111"/>
      <c r="BY4" s="530" t="s">
        <v>67</v>
      </c>
      <c r="BZ4" s="531"/>
      <c r="CA4" s="531"/>
      <c r="CB4" s="531"/>
      <c r="CC4" s="532">
        <f>Q36+AM36+BI36+CE36</f>
        <v>0</v>
      </c>
      <c r="CD4" s="532"/>
      <c r="CE4" s="532"/>
      <c r="CF4" s="532"/>
      <c r="CG4" s="533"/>
      <c r="CH4" s="146" t="s">
        <v>1</v>
      </c>
      <c r="CJ4" s="242"/>
      <c r="CK4"/>
      <c r="CL4"/>
      <c r="CM4"/>
      <c r="CN4"/>
      <c r="CO4"/>
      <c r="CP4"/>
      <c r="CQ4"/>
      <c r="CR4"/>
      <c r="CS4"/>
      <c r="CT4"/>
      <c r="CU4"/>
      <c r="CV4"/>
      <c r="CW4"/>
      <c r="CX4"/>
      <c r="CY4"/>
      <c r="CZ4" s="154"/>
      <c r="DB4" s="117" t="s">
        <v>48</v>
      </c>
      <c r="DC4" s="115"/>
    </row>
    <row r="5" spans="1:107" ht="18" customHeight="1" thickBot="1">
      <c r="A5" s="109"/>
      <c r="B5" s="311" t="s">
        <v>41</v>
      </c>
      <c r="C5" s="312"/>
      <c r="D5" s="313"/>
      <c r="E5" s="314">
        <f>IF(国民健康保険税試算シート!C14="〇",国民健康保険税試算シート!G14,0)</f>
        <v>0</v>
      </c>
      <c r="F5" s="315"/>
      <c r="G5" s="315"/>
      <c r="H5" s="315"/>
      <c r="I5" s="315"/>
      <c r="J5" s="315"/>
      <c r="K5" s="118" t="s">
        <v>1</v>
      </c>
      <c r="L5" s="311" t="s">
        <v>41</v>
      </c>
      <c r="M5" s="312"/>
      <c r="N5" s="313"/>
      <c r="O5" s="314">
        <f>IF(AND(国民健康保険税試算シート!B14="40～64歳",国民健康保険税試算シート!C14="〇"),E5,0)</f>
        <v>0</v>
      </c>
      <c r="P5" s="315"/>
      <c r="Q5" s="315"/>
      <c r="R5" s="315"/>
      <c r="S5" s="315"/>
      <c r="T5" s="315"/>
      <c r="U5" s="118" t="s">
        <v>1</v>
      </c>
      <c r="V5" s="311" t="s">
        <v>41</v>
      </c>
      <c r="W5" s="312"/>
      <c r="X5" s="313"/>
      <c r="Y5" s="314">
        <f t="shared" ref="Y5:Y7" si="0">E5</f>
        <v>0</v>
      </c>
      <c r="Z5" s="315"/>
      <c r="AA5" s="315"/>
      <c r="AB5" s="315"/>
      <c r="AC5" s="315"/>
      <c r="AD5" s="315"/>
      <c r="AE5" s="118" t="s">
        <v>1</v>
      </c>
      <c r="AG5" s="350" t="s">
        <v>16</v>
      </c>
      <c r="AH5" s="351"/>
      <c r="AI5" s="351"/>
      <c r="AJ5" s="351"/>
      <c r="AK5" s="351"/>
      <c r="AL5" s="405">
        <f>職員設定用!B5</f>
        <v>7.6499999999999995</v>
      </c>
      <c r="AM5" s="406"/>
      <c r="AN5" s="406"/>
      <c r="AO5" s="406"/>
      <c r="AP5" s="122" t="s">
        <v>18</v>
      </c>
      <c r="AQ5" s="407">
        <f>職員設定用!C5</f>
        <v>2.6100000000000003</v>
      </c>
      <c r="AR5" s="408"/>
      <c r="AS5" s="408"/>
      <c r="AT5" s="408"/>
      <c r="AU5" s="123" t="s">
        <v>18</v>
      </c>
      <c r="AV5" s="405">
        <f>職員設定用!D5</f>
        <v>2.27</v>
      </c>
      <c r="AW5" s="406"/>
      <c r="AX5" s="406"/>
      <c r="AY5" s="406"/>
      <c r="AZ5" s="233" t="s">
        <v>18</v>
      </c>
      <c r="BA5" s="405">
        <f>職員設定用!E5</f>
        <v>0.28999999999999998</v>
      </c>
      <c r="BB5" s="406"/>
      <c r="BC5" s="406"/>
      <c r="BD5" s="406"/>
      <c r="BE5" s="124" t="s">
        <v>18</v>
      </c>
      <c r="BI5" s="111"/>
      <c r="BJ5" s="111"/>
      <c r="BY5" s="540" t="s">
        <v>26</v>
      </c>
      <c r="BZ5" s="541"/>
      <c r="CA5" s="541"/>
      <c r="CB5" s="541"/>
      <c r="CC5" s="419">
        <f>ROUNDUP(CC4/12,-2)</f>
        <v>0</v>
      </c>
      <c r="CD5" s="419"/>
      <c r="CE5" s="419"/>
      <c r="CF5" s="419"/>
      <c r="CG5" s="420"/>
      <c r="CH5" s="150" t="s">
        <v>1</v>
      </c>
      <c r="CJ5" s="242"/>
      <c r="CK5" s="232"/>
      <c r="CL5" s="232"/>
      <c r="CM5" s="232"/>
      <c r="CN5" s="232"/>
      <c r="CO5" s="226"/>
      <c r="CP5" s="232"/>
      <c r="CQ5" s="232"/>
      <c r="CR5" s="232"/>
      <c r="CS5" s="232"/>
      <c r="CT5" s="227"/>
      <c r="CU5" s="232"/>
      <c r="CV5" s="232"/>
      <c r="CW5" s="232"/>
      <c r="CX5" s="232"/>
      <c r="CY5" s="227"/>
      <c r="CZ5" s="154"/>
      <c r="DB5" s="117" t="s">
        <v>49</v>
      </c>
      <c r="DC5" s="115"/>
    </row>
    <row r="6" spans="1:107" ht="18" customHeight="1" thickTop="1">
      <c r="A6" s="109"/>
      <c r="B6" s="311" t="s">
        <v>42</v>
      </c>
      <c r="C6" s="312"/>
      <c r="D6" s="313"/>
      <c r="E6" s="314">
        <f>IF(国民健康保険税試算シート!C15="〇",国民健康保険税試算シート!G15,0)</f>
        <v>0</v>
      </c>
      <c r="F6" s="315"/>
      <c r="G6" s="315"/>
      <c r="H6" s="315"/>
      <c r="I6" s="315"/>
      <c r="J6" s="315"/>
      <c r="K6" s="118" t="s">
        <v>1</v>
      </c>
      <c r="L6" s="311" t="s">
        <v>42</v>
      </c>
      <c r="M6" s="312"/>
      <c r="N6" s="313"/>
      <c r="O6" s="314">
        <f>IF(AND(国民健康保険税試算シート!B15="40～64歳",国民健康保険税試算シート!C15="〇"),E6,0)</f>
        <v>0</v>
      </c>
      <c r="P6" s="315"/>
      <c r="Q6" s="315"/>
      <c r="R6" s="315"/>
      <c r="S6" s="315"/>
      <c r="T6" s="315"/>
      <c r="U6" s="118" t="s">
        <v>1</v>
      </c>
      <c r="V6" s="311" t="s">
        <v>42</v>
      </c>
      <c r="W6" s="312"/>
      <c r="X6" s="313"/>
      <c r="Y6" s="314">
        <f t="shared" si="0"/>
        <v>0</v>
      </c>
      <c r="Z6" s="315"/>
      <c r="AA6" s="315"/>
      <c r="AB6" s="315"/>
      <c r="AC6" s="315"/>
      <c r="AD6" s="315"/>
      <c r="AE6" s="118" t="s">
        <v>1</v>
      </c>
      <c r="AG6" s="350" t="s">
        <v>31</v>
      </c>
      <c r="AH6" s="351"/>
      <c r="AI6" s="351"/>
      <c r="AJ6" s="351"/>
      <c r="AK6" s="351"/>
      <c r="AL6" s="325">
        <f>職員設定用!B7</f>
        <v>32600</v>
      </c>
      <c r="AM6" s="326"/>
      <c r="AN6" s="326"/>
      <c r="AO6" s="326"/>
      <c r="AP6" s="123" t="s">
        <v>1</v>
      </c>
      <c r="AQ6" s="373">
        <f>職員設定用!C7</f>
        <v>10900</v>
      </c>
      <c r="AR6" s="374"/>
      <c r="AS6" s="374"/>
      <c r="AT6" s="374"/>
      <c r="AU6" s="123" t="s">
        <v>1</v>
      </c>
      <c r="AV6" s="325">
        <f>職員設定用!D7</f>
        <v>11500</v>
      </c>
      <c r="AW6" s="326"/>
      <c r="AX6" s="326"/>
      <c r="AY6" s="326"/>
      <c r="AZ6" s="233" t="s">
        <v>1</v>
      </c>
      <c r="BA6" s="325">
        <f>職員設定用!E7</f>
        <v>1200</v>
      </c>
      <c r="BB6" s="326"/>
      <c r="BC6" s="326"/>
      <c r="BD6" s="326"/>
      <c r="BE6" s="124" t="s">
        <v>1</v>
      </c>
      <c r="BI6" s="111"/>
      <c r="BJ6" s="111"/>
      <c r="CJ6" s="242"/>
      <c r="CK6" s="135"/>
      <c r="CL6" s="135"/>
      <c r="CM6" s="135"/>
      <c r="CN6" s="135"/>
      <c r="CO6" s="227"/>
      <c r="CP6" s="135"/>
      <c r="CQ6" s="135"/>
      <c r="CR6" s="135"/>
      <c r="CS6" s="135"/>
      <c r="CT6" s="227"/>
      <c r="CU6" s="135"/>
      <c r="CV6" s="135"/>
      <c r="CW6" s="135"/>
      <c r="CX6" s="135"/>
      <c r="CY6" s="227"/>
      <c r="CZ6" s="154"/>
      <c r="DB6" s="117" t="s">
        <v>63</v>
      </c>
      <c r="DC6" s="111"/>
    </row>
    <row r="7" spans="1:107" ht="18" customHeight="1" thickBot="1">
      <c r="A7" s="109"/>
      <c r="B7" s="320" t="s">
        <v>72</v>
      </c>
      <c r="C7" s="321"/>
      <c r="D7" s="322"/>
      <c r="E7" s="323">
        <f>IF(国民健康保険税試算シート!C16="〇",国民健康保険税試算シート!G16,0)</f>
        <v>0</v>
      </c>
      <c r="F7" s="324"/>
      <c r="G7" s="324"/>
      <c r="H7" s="324"/>
      <c r="I7" s="324"/>
      <c r="J7" s="324"/>
      <c r="K7" s="125" t="s">
        <v>1</v>
      </c>
      <c r="L7" s="334" t="s">
        <v>72</v>
      </c>
      <c r="M7" s="335"/>
      <c r="N7" s="336"/>
      <c r="O7" s="337">
        <f>IF(AND(国民健康保険税試算シート!B16="40～64歳",国民健康保険税試算シート!C16="〇"),E7,0)</f>
        <v>0</v>
      </c>
      <c r="P7" s="338"/>
      <c r="Q7" s="338"/>
      <c r="R7" s="338"/>
      <c r="S7" s="338"/>
      <c r="T7" s="338"/>
      <c r="U7" s="246" t="s">
        <v>1</v>
      </c>
      <c r="V7" s="334" t="s">
        <v>72</v>
      </c>
      <c r="W7" s="335"/>
      <c r="X7" s="336"/>
      <c r="Y7" s="337">
        <f t="shared" si="0"/>
        <v>0</v>
      </c>
      <c r="Z7" s="338"/>
      <c r="AA7" s="338"/>
      <c r="AB7" s="338"/>
      <c r="AC7" s="338"/>
      <c r="AD7" s="338"/>
      <c r="AE7" s="246" t="s">
        <v>1</v>
      </c>
      <c r="AG7" s="356" t="s">
        <v>32</v>
      </c>
      <c r="AH7" s="357"/>
      <c r="AI7" s="357"/>
      <c r="AJ7" s="357"/>
      <c r="AK7" s="357"/>
      <c r="AL7" s="358">
        <f>職員設定用!B8</f>
        <v>21800</v>
      </c>
      <c r="AM7" s="359"/>
      <c r="AN7" s="359"/>
      <c r="AO7" s="359"/>
      <c r="AP7" s="126" t="s">
        <v>1</v>
      </c>
      <c r="AQ7" s="360">
        <f>職員設定用!C8</f>
        <v>7300</v>
      </c>
      <c r="AR7" s="361"/>
      <c r="AS7" s="361"/>
      <c r="AT7" s="361"/>
      <c r="AU7" s="126" t="s">
        <v>1</v>
      </c>
      <c r="AV7" s="358">
        <f>職員設定用!D8</f>
        <v>5700</v>
      </c>
      <c r="AW7" s="359"/>
      <c r="AX7" s="359"/>
      <c r="AY7" s="359"/>
      <c r="AZ7" s="234" t="s">
        <v>1</v>
      </c>
      <c r="BA7" s="358">
        <f>職員設定用!E8</f>
        <v>800</v>
      </c>
      <c r="BB7" s="359"/>
      <c r="BC7" s="359"/>
      <c r="BD7" s="359"/>
      <c r="BE7" s="127" t="s">
        <v>1</v>
      </c>
      <c r="BI7" s="111"/>
      <c r="BJ7" s="111"/>
      <c r="BY7" s="111"/>
      <c r="BZ7" s="110" t="s">
        <v>68</v>
      </c>
      <c r="CA7" s="111"/>
      <c r="CB7" s="111"/>
      <c r="CC7" s="111"/>
      <c r="CD7" s="111"/>
      <c r="CE7" s="111"/>
      <c r="CF7" s="111"/>
      <c r="CG7" s="111"/>
      <c r="CH7" s="111"/>
      <c r="CJ7" s="242"/>
      <c r="CK7" s="135"/>
      <c r="CL7" s="135"/>
      <c r="CM7" s="135"/>
      <c r="CN7" s="135"/>
      <c r="CO7" s="227"/>
      <c r="CP7" s="135"/>
      <c r="CQ7" s="135"/>
      <c r="CR7" s="135"/>
      <c r="CS7" s="135"/>
      <c r="CT7" s="227"/>
      <c r="CU7" s="135"/>
      <c r="CV7" s="135"/>
      <c r="CW7" s="135"/>
      <c r="CX7" s="135"/>
      <c r="CY7" s="227"/>
      <c r="CZ7" s="154"/>
    </row>
    <row r="8" spans="1:107" ht="18" customHeight="1" thickTop="1" thickBot="1">
      <c r="A8" s="109"/>
      <c r="B8" s="344" t="s">
        <v>71</v>
      </c>
      <c r="C8" s="345"/>
      <c r="D8" s="345"/>
      <c r="E8" s="345"/>
      <c r="F8" s="345"/>
      <c r="G8" s="346"/>
      <c r="H8" s="318">
        <f>COUNTIF(国民健康保険税試算シート!C13:C16,"〇")</f>
        <v>0</v>
      </c>
      <c r="I8" s="319"/>
      <c r="J8" s="319"/>
      <c r="K8" s="128" t="s">
        <v>22</v>
      </c>
      <c r="L8" s="416" t="s">
        <v>71</v>
      </c>
      <c r="M8" s="417"/>
      <c r="N8" s="417"/>
      <c r="O8" s="417"/>
      <c r="P8" s="417"/>
      <c r="Q8" s="418"/>
      <c r="R8" s="332">
        <f>IF(AND(国民健康保険税試算シート!B13="40～64歳",国民健康保険税試算シート!C13="〇"),1,0)+IF(AND(国民健康保険税試算シート!B14="40～64歳",国民健康保険税試算シート!C14="〇"),1,0)+IF(AND(国民健康保険税試算シート!B15="40～64歳",国民健康保険税試算シート!C15="〇"),1,0)+IF(AND(国民健康保険税試算シート!B16="40～64歳",国民健康保険税試算シート!C16="〇"),1,0)</f>
        <v>0</v>
      </c>
      <c r="S8" s="333"/>
      <c r="T8" s="333"/>
      <c r="U8" s="247" t="s">
        <v>22</v>
      </c>
      <c r="V8" s="292" t="s">
        <v>71</v>
      </c>
      <c r="W8" s="293"/>
      <c r="X8" s="293"/>
      <c r="Y8" s="293"/>
      <c r="Z8" s="293"/>
      <c r="AA8" s="366"/>
      <c r="AB8" s="318">
        <f>COUNTIF(国民健康保険税試算シート!C13:C16,"〇")</f>
        <v>0</v>
      </c>
      <c r="AC8" s="319"/>
      <c r="AD8" s="319"/>
      <c r="AE8" s="248" t="s">
        <v>22</v>
      </c>
      <c r="AG8" s="410" t="s">
        <v>200</v>
      </c>
      <c r="AH8" s="411"/>
      <c r="AI8" s="411"/>
      <c r="AJ8" s="411"/>
      <c r="AK8" s="411"/>
      <c r="AL8" s="325">
        <f>職員設定用!B9</f>
        <v>0</v>
      </c>
      <c r="AM8" s="326"/>
      <c r="AN8" s="326"/>
      <c r="AO8" s="326"/>
      <c r="AP8" s="123" t="s">
        <v>1</v>
      </c>
      <c r="AQ8" s="373">
        <f>職員設定用!C9</f>
        <v>0</v>
      </c>
      <c r="AR8" s="374"/>
      <c r="AS8" s="374"/>
      <c r="AT8" s="374"/>
      <c r="AU8" s="123" t="s">
        <v>1</v>
      </c>
      <c r="AV8" s="325">
        <f>職員設定用!D9</f>
        <v>0</v>
      </c>
      <c r="AW8" s="326"/>
      <c r="AX8" s="326"/>
      <c r="AY8" s="326"/>
      <c r="AZ8" s="233" t="s">
        <v>1</v>
      </c>
      <c r="BA8" s="325">
        <f>職員設定用!E9</f>
        <v>100</v>
      </c>
      <c r="BB8" s="326"/>
      <c r="BC8" s="326"/>
      <c r="BD8" s="326"/>
      <c r="BE8" s="124" t="s">
        <v>1</v>
      </c>
      <c r="BI8" s="111"/>
      <c r="BJ8" s="111"/>
      <c r="BY8" s="402" t="s">
        <v>27</v>
      </c>
      <c r="BZ8" s="403"/>
      <c r="CA8" s="403"/>
      <c r="CB8" s="403"/>
      <c r="CC8" s="403"/>
      <c r="CD8" s="403"/>
      <c r="CE8" s="403"/>
      <c r="CF8" s="403"/>
      <c r="CG8" s="403"/>
      <c r="CH8" s="404"/>
      <c r="CJ8" s="242"/>
      <c r="CK8" s="135"/>
      <c r="CL8" s="135"/>
      <c r="CM8" s="135"/>
      <c r="CN8" s="135"/>
      <c r="CO8" s="227"/>
      <c r="CP8" s="135"/>
      <c r="CQ8" s="135"/>
      <c r="CR8" s="135"/>
      <c r="CS8" s="135"/>
      <c r="CT8" s="227"/>
      <c r="CU8" s="135"/>
      <c r="CV8" s="135"/>
      <c r="CW8" s="135"/>
      <c r="CX8" s="135"/>
      <c r="CY8" s="227"/>
      <c r="CZ8" s="154"/>
    </row>
    <row r="9" spans="1:107" ht="18" customHeight="1" thickTop="1" thickBot="1">
      <c r="A9" s="109"/>
      <c r="B9" s="327" t="s">
        <v>74</v>
      </c>
      <c r="C9" s="328"/>
      <c r="D9" s="328"/>
      <c r="E9" s="328"/>
      <c r="F9" s="328"/>
      <c r="G9" s="329"/>
      <c r="H9" s="330">
        <f>IF(AND(国民健康保険税試算シート!B13="0～6歳",国民健康保険税試算シート!C13="〇"),1,0)+IF(AND(国民健康保険税試算シート!B14="0～6歳",国民健康保険税試算シート!C14="〇"),1,0)+IF(AND(国民健康保険税試算シート!B15="0～6歳",国民健康保険税試算シート!C15="〇"),1,0)+IF(AND(国民健康保険税試算シート!B16="0～6歳",国民健康保険税試算シート!C16="〇"),1,0)</f>
        <v>0</v>
      </c>
      <c r="I9" s="331"/>
      <c r="J9" s="331"/>
      <c r="K9" s="130" t="s">
        <v>22</v>
      </c>
      <c r="L9" s="111"/>
      <c r="M9" s="134"/>
      <c r="N9" s="134"/>
      <c r="O9" s="119"/>
      <c r="P9" s="119"/>
      <c r="Q9" s="135"/>
      <c r="R9" s="135"/>
      <c r="S9" s="135"/>
      <c r="T9" s="135"/>
      <c r="U9" s="135"/>
      <c r="V9" s="367" t="s">
        <v>203</v>
      </c>
      <c r="W9" s="368"/>
      <c r="X9" s="368"/>
      <c r="Y9" s="368"/>
      <c r="Z9" s="368"/>
      <c r="AA9" s="369"/>
      <c r="AB9" s="370">
        <f>IF(AND(国民健康保険税試算シート!B13="0～6歳",国民健康保険税試算シート!C13="〇"),1,0)+IF(AND(国民健康保険税試算シート!B14="0～6歳",国民健康保険税試算シート!C14="〇"),1,0)+IF(AND(国民健康保険税試算シート!B15="0～6歳",国民健康保険税試算シート!C15="〇"),1,0)+IF(AND(国民健康保険税試算シート!B16="0～6歳",国民健康保険税試算シート!C16="〇"),1,0)+IF(AND(国民健康保険税試算シート!B13="7～17歳",国民健康保険税試算シート!C13="〇"),1,0)+IF(AND(国民健康保険税試算シート!B14="7～17歳",国民健康保険税試算シート!C14="〇"),1,0)+IF(AND(国民健康保険税試算シート!B15="7～17歳",国民健康保険税試算シート!C15="〇"),1,0)+IF(AND(国民健康保険税試算シート!B16="7～17歳",国民健康保険税試算シート!C16="〇"),1,0)</f>
        <v>0</v>
      </c>
      <c r="AC9" s="371"/>
      <c r="AD9" s="371"/>
      <c r="AE9" s="245" t="s">
        <v>22</v>
      </c>
      <c r="AG9" s="316" t="s">
        <v>19</v>
      </c>
      <c r="AH9" s="317"/>
      <c r="AI9" s="317"/>
      <c r="AJ9" s="317"/>
      <c r="AK9" s="317"/>
      <c r="AL9" s="362">
        <f>職員設定用!B10</f>
        <v>670000</v>
      </c>
      <c r="AM9" s="363"/>
      <c r="AN9" s="363"/>
      <c r="AO9" s="363"/>
      <c r="AP9" s="129" t="s">
        <v>1</v>
      </c>
      <c r="AQ9" s="364">
        <f>職員設定用!C10</f>
        <v>260000</v>
      </c>
      <c r="AR9" s="365"/>
      <c r="AS9" s="365"/>
      <c r="AT9" s="365"/>
      <c r="AU9" s="129" t="s">
        <v>1</v>
      </c>
      <c r="AV9" s="362">
        <f>職員設定用!D10</f>
        <v>170000</v>
      </c>
      <c r="AW9" s="363"/>
      <c r="AX9" s="363"/>
      <c r="AY9" s="363"/>
      <c r="AZ9" s="235" t="s">
        <v>1</v>
      </c>
      <c r="BA9" s="546">
        <f>職員設定用!E10</f>
        <v>30000</v>
      </c>
      <c r="BB9" s="547"/>
      <c r="BC9" s="547"/>
      <c r="BD9" s="547"/>
      <c r="BE9" s="236" t="s">
        <v>1</v>
      </c>
      <c r="BI9" s="111"/>
      <c r="BJ9" s="111"/>
      <c r="BY9" s="530" t="s">
        <v>67</v>
      </c>
      <c r="BZ9" s="531"/>
      <c r="CA9" s="531"/>
      <c r="CB9" s="531"/>
      <c r="CC9" s="532">
        <f>IF(Q24+Q25+Q26+Q27+Q30+Q31+Q34&gt;AL9,AL9,ROUNDDOWN(Q24+Q25+Q26+Q27+Q30+Q31+Q34,-2))+IF(AM24+AM25+AM26+AM27+AM30+AM31+AM34&gt;AQ9,AQ9,ROUNDDOWN(AM24+AM25+AM26+AM27+AM30+AM31+AM34,-2))+IF(BI24+BI25+BI26+BI27+BI30+BI34&gt;AV9,AV9,ROUNDDOWN(BI24+BI25+BI26+BI27+BI30+BI34,-2))+IF(CE24+CE25+CE26+CE27+CE30+CE31+CE34&gt;BA9,BA9,ROUNDDOWN(CE24+CE25+CE26+CE27+CE30+CE31+CE34,-2))</f>
        <v>0</v>
      </c>
      <c r="CD9" s="532"/>
      <c r="CE9" s="532"/>
      <c r="CF9" s="532"/>
      <c r="CG9" s="533"/>
      <c r="CH9" s="146" t="s">
        <v>1</v>
      </c>
      <c r="CJ9" s="243"/>
      <c r="CK9" s="134"/>
      <c r="CL9" s="119"/>
      <c r="CM9" s="119"/>
      <c r="CN9" s="135"/>
      <c r="CO9" s="135"/>
      <c r="CP9" s="135"/>
      <c r="CQ9" s="135"/>
      <c r="CR9" s="135"/>
      <c r="CS9" s="119"/>
      <c r="CT9" s="119"/>
      <c r="CU9" s="135"/>
      <c r="CV9" s="135"/>
      <c r="CW9" s="135"/>
      <c r="CX9" s="135"/>
      <c r="CY9" s="135"/>
      <c r="CZ9" s="154"/>
    </row>
    <row r="10" spans="1:107" ht="18" customHeight="1" thickTop="1" thickBot="1">
      <c r="A10" s="109"/>
      <c r="B10" s="347" t="str">
        <f>職員設定用!B17</f>
        <v>令和2年4月2日以降生まれ</v>
      </c>
      <c r="C10" s="348"/>
      <c r="D10" s="348"/>
      <c r="E10" s="348"/>
      <c r="F10" s="348"/>
      <c r="G10" s="348"/>
      <c r="H10" s="348"/>
      <c r="I10" s="348"/>
      <c r="J10" s="348"/>
      <c r="K10" s="349"/>
      <c r="L10" s="116"/>
      <c r="M10" s="137"/>
      <c r="N10" s="137"/>
      <c r="O10" s="138"/>
      <c r="P10" s="138"/>
      <c r="Q10" s="139"/>
      <c r="R10" s="139"/>
      <c r="S10" s="139"/>
      <c r="T10" s="139"/>
      <c r="U10" s="149"/>
      <c r="V10" s="347" t="str">
        <f>職員設定用!C17</f>
        <v>平成20年4月2日以降生まれ</v>
      </c>
      <c r="W10" s="348"/>
      <c r="X10" s="348"/>
      <c r="Y10" s="348"/>
      <c r="Z10" s="348"/>
      <c r="AA10" s="348"/>
      <c r="AB10" s="348"/>
      <c r="AC10" s="348"/>
      <c r="AD10" s="348"/>
      <c r="AE10" s="349"/>
      <c r="AF10" s="111"/>
      <c r="AG10" s="381" t="s">
        <v>36</v>
      </c>
      <c r="AH10" s="382"/>
      <c r="AI10" s="382"/>
      <c r="AJ10" s="382"/>
      <c r="AK10" s="382"/>
      <c r="AL10" s="382"/>
      <c r="AM10" s="383" t="s">
        <v>55</v>
      </c>
      <c r="AN10" s="383"/>
      <c r="AO10" s="384">
        <f>職員設定用!B13</f>
        <v>570000</v>
      </c>
      <c r="AP10" s="384"/>
      <c r="AQ10" s="384"/>
      <c r="AR10" s="384"/>
      <c r="AS10" s="384"/>
      <c r="AT10" s="383" t="s">
        <v>56</v>
      </c>
      <c r="AU10" s="383"/>
      <c r="AV10" s="384">
        <f>職員設定用!B14</f>
        <v>310000</v>
      </c>
      <c r="AW10" s="384"/>
      <c r="AX10" s="384"/>
      <c r="AY10" s="384"/>
      <c r="AZ10" s="395"/>
      <c r="BA10" s="111"/>
      <c r="BB10" s="149"/>
      <c r="BC10" s="137"/>
      <c r="BD10" s="137"/>
      <c r="BE10" s="137"/>
      <c r="BF10" s="135"/>
      <c r="BG10" s="135"/>
      <c r="BH10" s="136"/>
      <c r="BI10" s="111"/>
      <c r="BJ10" s="111"/>
      <c r="BY10" s="540" t="s">
        <v>26</v>
      </c>
      <c r="BZ10" s="541"/>
      <c r="CA10" s="541"/>
      <c r="CB10" s="541"/>
      <c r="CC10" s="419">
        <f>ROUNDUP(CC9/12,-2)</f>
        <v>0</v>
      </c>
      <c r="CD10" s="419"/>
      <c r="CE10" s="419"/>
      <c r="CF10" s="419"/>
      <c r="CG10" s="420"/>
      <c r="CH10" s="150" t="s">
        <v>1</v>
      </c>
      <c r="CJ10" s="244"/>
      <c r="CK10" s="137"/>
      <c r="CL10" s="138"/>
      <c r="CM10" s="138"/>
      <c r="CN10" s="139"/>
      <c r="CO10" s="139"/>
      <c r="CP10" s="139"/>
      <c r="CQ10" s="139"/>
      <c r="CR10" s="149"/>
      <c r="CS10" s="149"/>
      <c r="CT10" s="149"/>
      <c r="CU10" s="149"/>
      <c r="CV10" s="149"/>
      <c r="CW10" s="149"/>
      <c r="CX10" s="149"/>
      <c r="CY10" s="149"/>
      <c r="CZ10" s="154"/>
    </row>
    <row r="11" spans="1:107" ht="18" customHeight="1" thickTop="1">
      <c r="A11" s="109"/>
      <c r="L11" s="111"/>
      <c r="AH11" s="111"/>
      <c r="AI11" s="111"/>
      <c r="BN11" s="220"/>
      <c r="BO11" s="223"/>
      <c r="BP11" s="223"/>
      <c r="BQ11" s="223"/>
      <c r="BR11" s="223"/>
      <c r="BS11" s="223"/>
      <c r="BT11" s="223"/>
      <c r="BU11" s="223"/>
      <c r="BV11" s="223"/>
      <c r="BW11" s="223"/>
      <c r="BX11" s="228"/>
      <c r="BY11" s="231"/>
      <c r="BZ11" s="231"/>
      <c r="CA11" s="231"/>
      <c r="CB11" s="135"/>
      <c r="CC11" s="135"/>
      <c r="CD11" s="135"/>
      <c r="CE11" s="135"/>
      <c r="CF11" s="135"/>
      <c r="CG11" s="231"/>
      <c r="CH11" s="231"/>
      <c r="CI11" s="231"/>
      <c r="CJ11" s="224"/>
    </row>
    <row r="12" spans="1:107" ht="18" customHeight="1" thickBot="1">
      <c r="A12" s="109"/>
      <c r="B12" s="291" t="s">
        <v>60</v>
      </c>
      <c r="C12" s="291"/>
      <c r="D12" s="291"/>
      <c r="E12" s="291"/>
      <c r="F12" s="291"/>
      <c r="G12" s="291"/>
      <c r="H12" s="291"/>
      <c r="I12" s="291"/>
      <c r="J12" s="291"/>
      <c r="K12" s="291"/>
      <c r="L12" s="291"/>
      <c r="M12" s="291"/>
      <c r="N12" s="291"/>
      <c r="O12" s="291"/>
      <c r="P12" s="291"/>
      <c r="Q12" s="291"/>
      <c r="R12" s="291"/>
      <c r="S12" s="291"/>
      <c r="T12" s="291"/>
      <c r="U12" s="291"/>
      <c r="V12" s="291"/>
      <c r="W12" s="291"/>
      <c r="X12" s="291"/>
      <c r="Y12" s="291"/>
      <c r="Z12" s="291"/>
      <c r="AA12" s="291"/>
      <c r="AB12" s="291"/>
      <c r="AC12" s="291"/>
      <c r="AD12" s="291"/>
      <c r="AE12" s="291"/>
      <c r="AH12" s="111"/>
      <c r="AI12" s="111"/>
      <c r="BN12" s="111"/>
      <c r="BY12" s="111"/>
      <c r="CJ12" s="154"/>
    </row>
    <row r="13" spans="1:107" ht="18" customHeight="1" thickTop="1">
      <c r="A13" s="109"/>
      <c r="B13" s="295" t="s">
        <v>57</v>
      </c>
      <c r="C13" s="296"/>
      <c r="D13" s="296"/>
      <c r="E13" s="296"/>
      <c r="F13" s="296"/>
      <c r="G13" s="296"/>
      <c r="H13" s="296"/>
      <c r="I13" s="296"/>
      <c r="J13" s="296"/>
      <c r="K13" s="296"/>
      <c r="L13" s="299" t="s">
        <v>58</v>
      </c>
      <c r="M13" s="299"/>
      <c r="N13" s="299"/>
      <c r="O13" s="299"/>
      <c r="P13" s="299"/>
      <c r="Q13" s="299"/>
      <c r="R13" s="299"/>
      <c r="S13" s="301" t="s">
        <v>65</v>
      </c>
      <c r="T13" s="301"/>
      <c r="U13" s="301"/>
      <c r="V13" s="301" t="s">
        <v>66</v>
      </c>
      <c r="W13" s="301"/>
      <c r="X13" s="301"/>
      <c r="Y13" s="299" t="s">
        <v>59</v>
      </c>
      <c r="Z13" s="299"/>
      <c r="AA13" s="299"/>
      <c r="AB13" s="299"/>
      <c r="AC13" s="299"/>
      <c r="AD13" s="299"/>
      <c r="AE13" s="303"/>
      <c r="AG13" s="396" t="s">
        <v>61</v>
      </c>
      <c r="AH13" s="397"/>
      <c r="AI13" s="141"/>
      <c r="AJ13" s="142"/>
      <c r="AK13" s="142"/>
      <c r="AL13" s="142"/>
      <c r="AM13" s="142"/>
      <c r="AN13" s="142"/>
      <c r="AO13" s="385" t="str">
        <f>職員設定用!$B$19/10000&amp;"万円+（10万円×("</f>
        <v>43万円+（10万円×(</v>
      </c>
      <c r="AP13" s="385"/>
      <c r="AQ13" s="385"/>
      <c r="AR13" s="385"/>
      <c r="AS13" s="385"/>
      <c r="AT13" s="385"/>
      <c r="AU13" s="385"/>
      <c r="AV13" s="385"/>
      <c r="AW13" s="385"/>
      <c r="AX13" s="385"/>
      <c r="AY13" s="143">
        <f>S19</f>
        <v>0</v>
      </c>
      <c r="AZ13" s="386" t="s">
        <v>73</v>
      </c>
      <c r="BA13" s="386"/>
      <c r="BB13" s="386"/>
      <c r="BC13" s="534">
        <f>職員設定用!$B$19+(100000*IF(AY13=0,0,AY13-1))</f>
        <v>430000</v>
      </c>
      <c r="BD13" s="534"/>
      <c r="BE13" s="534"/>
      <c r="BF13" s="534"/>
      <c r="BG13" s="534"/>
      <c r="BH13" s="386" t="s">
        <v>44</v>
      </c>
      <c r="BI13" s="386"/>
      <c r="BJ13" s="535"/>
      <c r="BN13" s="111"/>
      <c r="BY13" s="111"/>
      <c r="CJ13" s="154"/>
    </row>
    <row r="14" spans="1:107" ht="18" customHeight="1">
      <c r="A14" s="109"/>
      <c r="B14" s="297"/>
      <c r="C14" s="298"/>
      <c r="D14" s="298"/>
      <c r="E14" s="298"/>
      <c r="F14" s="298"/>
      <c r="G14" s="298"/>
      <c r="H14" s="298"/>
      <c r="I14" s="298"/>
      <c r="J14" s="298"/>
      <c r="K14" s="298"/>
      <c r="L14" s="300"/>
      <c r="M14" s="300"/>
      <c r="N14" s="300"/>
      <c r="O14" s="300"/>
      <c r="P14" s="300"/>
      <c r="Q14" s="300"/>
      <c r="R14" s="300"/>
      <c r="S14" s="302"/>
      <c r="T14" s="302"/>
      <c r="U14" s="302"/>
      <c r="V14" s="302"/>
      <c r="W14" s="302"/>
      <c r="X14" s="302"/>
      <c r="Y14" s="300"/>
      <c r="Z14" s="300"/>
      <c r="AA14" s="300"/>
      <c r="AB14" s="300"/>
      <c r="AC14" s="300"/>
      <c r="AD14" s="300"/>
      <c r="AE14" s="304"/>
      <c r="AG14" s="398" t="s">
        <v>56</v>
      </c>
      <c r="AH14" s="399"/>
      <c r="AI14" s="400">
        <f>AV10/10000</f>
        <v>31</v>
      </c>
      <c r="AJ14" s="401"/>
      <c r="AK14" s="394" t="s">
        <v>62</v>
      </c>
      <c r="AL14" s="394"/>
      <c r="AM14" s="394"/>
      <c r="AN14" s="144">
        <f>E19</f>
        <v>0</v>
      </c>
      <c r="AO14" s="372" t="str">
        <f>"人+"&amp;職員設定用!$B$19/10000&amp;"万円+（10万円×("</f>
        <v>人+43万円+（10万円×(</v>
      </c>
      <c r="AP14" s="372"/>
      <c r="AQ14" s="372"/>
      <c r="AR14" s="372"/>
      <c r="AS14" s="372"/>
      <c r="AT14" s="372"/>
      <c r="AU14" s="372"/>
      <c r="AV14" s="372"/>
      <c r="AW14" s="372"/>
      <c r="AX14" s="372"/>
      <c r="AY14" s="145">
        <f>S19</f>
        <v>0</v>
      </c>
      <c r="AZ14" s="545" t="s">
        <v>73</v>
      </c>
      <c r="BA14" s="545"/>
      <c r="BB14" s="545"/>
      <c r="BC14" s="536">
        <f>AV10*AN14+職員設定用!$B$19+(100000*IF(AY14=0,0,AY14-1))</f>
        <v>430000</v>
      </c>
      <c r="BD14" s="536"/>
      <c r="BE14" s="536"/>
      <c r="BF14" s="536"/>
      <c r="BG14" s="536"/>
      <c r="BH14" s="545" t="s">
        <v>44</v>
      </c>
      <c r="BI14" s="545"/>
      <c r="BJ14" s="548"/>
      <c r="BN14" s="111"/>
      <c r="BY14" s="111"/>
      <c r="CJ14" s="154"/>
    </row>
    <row r="15" spans="1:107" s="155" customFormat="1" ht="18" customHeight="1" thickBot="1">
      <c r="A15" s="153"/>
      <c r="B15" s="339" t="s">
        <v>40</v>
      </c>
      <c r="C15" s="340"/>
      <c r="D15" s="340"/>
      <c r="E15" s="341" t="str">
        <f>IF(国民健康保険税試算シート!C13="〇","世帯主",IF(国民健康保険税試算シート!B13="","","ギ主×"))</f>
        <v/>
      </c>
      <c r="F15" s="341"/>
      <c r="G15" s="341"/>
      <c r="H15" s="341"/>
      <c r="I15" s="341"/>
      <c r="J15" s="298" t="str">
        <f>IF(E15="","",IF(E15="ギ主×","-","〇"))</f>
        <v/>
      </c>
      <c r="K15" s="298"/>
      <c r="L15" s="342">
        <f>国民健康保険税試算シート!G13</f>
        <v>0</v>
      </c>
      <c r="M15" s="342"/>
      <c r="N15" s="342"/>
      <c r="O15" s="342"/>
      <c r="P15" s="342"/>
      <c r="Q15" s="343"/>
      <c r="R15" s="120" t="s">
        <v>1</v>
      </c>
      <c r="S15" s="352" t="str">
        <f>IF(国民健康保険税試算シート!D13+国民健康保険税試算シート!E13&gt;0,"〇","")</f>
        <v/>
      </c>
      <c r="T15" s="352"/>
      <c r="U15" s="352"/>
      <c r="V15" s="353" t="str">
        <f>IF(OR(AND(国民健康保険税試算シート!B13="65～74歳",国民健康保険税試算シート!E13&gt;0),AND(国民健康保険税試算シート!B13="75歳以上",国民健康保険税試算シート!E13&gt;0)),"〇","")</f>
        <v/>
      </c>
      <c r="W15" s="353"/>
      <c r="X15" s="353"/>
      <c r="Y15" s="354">
        <f>IF(L15="","",IF(V15="",L15,IF(国民健康保険税試算シート!E13-150000&lt;0,国民健康保険税試算シート!G13-国民健康保険税試算シート!E13,L15-150000)))</f>
        <v>0</v>
      </c>
      <c r="Z15" s="354"/>
      <c r="AA15" s="354"/>
      <c r="AB15" s="354"/>
      <c r="AC15" s="354"/>
      <c r="AD15" s="355"/>
      <c r="AE15" s="121" t="s">
        <v>1</v>
      </c>
      <c r="AF15" s="149"/>
      <c r="AG15" s="387" t="s">
        <v>55</v>
      </c>
      <c r="AH15" s="388"/>
      <c r="AI15" s="389">
        <f>AO10/10000</f>
        <v>57</v>
      </c>
      <c r="AJ15" s="390"/>
      <c r="AK15" s="391" t="s">
        <v>62</v>
      </c>
      <c r="AL15" s="391"/>
      <c r="AM15" s="391"/>
      <c r="AN15" s="147">
        <f>E19</f>
        <v>0</v>
      </c>
      <c r="AO15" s="392" t="str">
        <f>"人+"&amp;職員設定用!$B$19/10000&amp;"万円+（10万円×("</f>
        <v>人+43万円+（10万円×(</v>
      </c>
      <c r="AP15" s="392"/>
      <c r="AQ15" s="392"/>
      <c r="AR15" s="392"/>
      <c r="AS15" s="392"/>
      <c r="AT15" s="392"/>
      <c r="AU15" s="392"/>
      <c r="AV15" s="392"/>
      <c r="AW15" s="392"/>
      <c r="AX15" s="392"/>
      <c r="AY15" s="148">
        <f>S19</f>
        <v>0</v>
      </c>
      <c r="AZ15" s="393" t="s">
        <v>73</v>
      </c>
      <c r="BA15" s="393"/>
      <c r="BB15" s="393"/>
      <c r="BC15" s="538">
        <f>AO10*AN15+職員設定用!$B$19+(100000*IF(AY15=0,0,AY15-1))</f>
        <v>430000</v>
      </c>
      <c r="BD15" s="538"/>
      <c r="BE15" s="538"/>
      <c r="BF15" s="538"/>
      <c r="BG15" s="538"/>
      <c r="BH15" s="393" t="s">
        <v>44</v>
      </c>
      <c r="BI15" s="393"/>
      <c r="BJ15" s="539"/>
      <c r="BN15" s="149"/>
      <c r="BY15" s="151"/>
      <c r="CJ15" s="154"/>
    </row>
    <row r="16" spans="1:107" s="149" customFormat="1" ht="18" customHeight="1" thickBot="1">
      <c r="A16" s="153"/>
      <c r="B16" s="339" t="s">
        <v>41</v>
      </c>
      <c r="C16" s="340"/>
      <c r="D16" s="340"/>
      <c r="E16" s="341" t="str">
        <f>IF(国民健康保険税試算シート!C14="〇","世帯員",IF(国民健康保険税試算シート!B14="75歳以上","特同",""))</f>
        <v/>
      </c>
      <c r="F16" s="341"/>
      <c r="G16" s="341"/>
      <c r="H16" s="341"/>
      <c r="I16" s="341"/>
      <c r="J16" s="298" t="str">
        <f>IF(E16="","",IF(E16="ギ主×","-","〇"))</f>
        <v/>
      </c>
      <c r="K16" s="298"/>
      <c r="L16" s="342">
        <f>E5</f>
        <v>0</v>
      </c>
      <c r="M16" s="342"/>
      <c r="N16" s="342"/>
      <c r="O16" s="342"/>
      <c r="P16" s="342"/>
      <c r="Q16" s="343"/>
      <c r="R16" s="120" t="s">
        <v>1</v>
      </c>
      <c r="S16" s="352" t="str">
        <f>IF(国民健康保険税試算シート!C14="〇",IF(国民健康保険税試算シート!D14+国民健康保険税試算シート!E14&gt;0,"〇",""),"")</f>
        <v/>
      </c>
      <c r="T16" s="352"/>
      <c r="U16" s="352"/>
      <c r="V16" s="353" t="str">
        <f>IF(AND(国民健康保険税試算シート!B14="65～74歳",国民健康保険税試算シート!E14&gt;0),"〇","")</f>
        <v/>
      </c>
      <c r="W16" s="353"/>
      <c r="X16" s="353"/>
      <c r="Y16" s="354">
        <f>IF(L16="","",IF(V16="",L16,IF(国民健康保険税試算シート!E14-150000&lt;0,国民健康保険税試算シート!G14-国民健康保険税試算シート!E14,L16-150000)))</f>
        <v>0</v>
      </c>
      <c r="Z16" s="354"/>
      <c r="AA16" s="354"/>
      <c r="AB16" s="354"/>
      <c r="AC16" s="354"/>
      <c r="AD16" s="355"/>
      <c r="AE16" s="121" t="s">
        <v>1</v>
      </c>
      <c r="BE16" s="152" t="s">
        <v>69</v>
      </c>
      <c r="CJ16" s="154"/>
    </row>
    <row r="17" spans="1:93" s="155" customFormat="1" ht="18" customHeight="1" thickBot="1">
      <c r="A17" s="153"/>
      <c r="B17" s="339" t="s">
        <v>42</v>
      </c>
      <c r="C17" s="340"/>
      <c r="D17" s="340"/>
      <c r="E17" s="341" t="str">
        <f>IF(国民健康保険税試算シート!C15="〇","世帯員",IF(国民健康保険税試算シート!B15="75歳以上","特同",""))</f>
        <v/>
      </c>
      <c r="F17" s="341"/>
      <c r="G17" s="341"/>
      <c r="H17" s="341"/>
      <c r="I17" s="341"/>
      <c r="J17" s="298" t="str">
        <f>IF(E17="","",IF(E17="ギ主×","-","〇"))</f>
        <v/>
      </c>
      <c r="K17" s="298"/>
      <c r="L17" s="342">
        <f>E6</f>
        <v>0</v>
      </c>
      <c r="M17" s="342"/>
      <c r="N17" s="342"/>
      <c r="O17" s="342"/>
      <c r="P17" s="342"/>
      <c r="Q17" s="343"/>
      <c r="R17" s="120" t="s">
        <v>1</v>
      </c>
      <c r="S17" s="352" t="str">
        <f>IF(国民健康保険税試算シート!C15="〇",IF(国民健康保険税試算シート!D15+国民健康保険税試算シート!E15&gt;0,"〇",""),"")</f>
        <v/>
      </c>
      <c r="T17" s="352"/>
      <c r="U17" s="352"/>
      <c r="V17" s="353" t="str">
        <f>IF(AND(国民健康保険税試算シート!B15="65～74歳",国民健康保険税試算シート!E15&gt;0),"〇","")</f>
        <v/>
      </c>
      <c r="W17" s="353"/>
      <c r="X17" s="353"/>
      <c r="Y17" s="354">
        <f>IF(L17="","",IF(V17="",L17,IF(国民健康保険税試算シート!E15-150000&lt;0,国民健康保険税試算シート!G15-国民健康保険税試算シート!E15,L17-150000)))</f>
        <v>0</v>
      </c>
      <c r="Z17" s="354"/>
      <c r="AA17" s="354"/>
      <c r="AB17" s="354"/>
      <c r="AC17" s="354"/>
      <c r="AD17" s="355"/>
      <c r="AE17" s="121" t="s">
        <v>1</v>
      </c>
      <c r="AF17" s="149"/>
      <c r="AG17" s="429" t="s">
        <v>45</v>
      </c>
      <c r="AH17" s="430"/>
      <c r="AI17" s="430"/>
      <c r="AJ17" s="431" t="str">
        <f>IF(Y19&lt;BC13+1,"7",IF(Y19&lt;BC14+1,"5",IF(Y19&lt;BC15+1,"2","0")))</f>
        <v>7</v>
      </c>
      <c r="AK17" s="431"/>
      <c r="AL17" s="430" t="s">
        <v>46</v>
      </c>
      <c r="AM17" s="430"/>
      <c r="AN17" s="430"/>
      <c r="AO17" s="432"/>
      <c r="AP17" s="149"/>
      <c r="AQ17" s="149"/>
      <c r="AR17" s="149"/>
      <c r="AS17" s="149"/>
      <c r="AT17" s="149"/>
      <c r="AU17" s="433" t="s">
        <v>64</v>
      </c>
      <c r="AV17" s="434"/>
      <c r="AW17" s="434"/>
      <c r="AX17" s="434"/>
      <c r="AY17" s="434"/>
      <c r="AZ17" s="434"/>
      <c r="BA17" s="434"/>
      <c r="BB17" s="435"/>
      <c r="BC17" s="436">
        <f>Y19</f>
        <v>0</v>
      </c>
      <c r="BD17" s="437"/>
      <c r="BE17" s="437"/>
      <c r="BF17" s="437"/>
      <c r="BG17" s="437"/>
      <c r="BH17" s="542" t="s">
        <v>1</v>
      </c>
      <c r="BI17" s="542"/>
      <c r="BJ17" s="543"/>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54"/>
    </row>
    <row r="18" spans="1:93" s="155" customFormat="1" ht="18" customHeight="1">
      <c r="A18" s="153"/>
      <c r="B18" s="339" t="s">
        <v>43</v>
      </c>
      <c r="C18" s="340"/>
      <c r="D18" s="340"/>
      <c r="E18" s="341" t="str">
        <f>IF(国民健康保険税試算シート!C16="〇","世帯員",IF(国民健康保険税試算シート!B16="75歳以上","特同",""))</f>
        <v/>
      </c>
      <c r="F18" s="341"/>
      <c r="G18" s="341"/>
      <c r="H18" s="341"/>
      <c r="I18" s="341"/>
      <c r="J18" s="298" t="str">
        <f>IF(E18="","",IF(E18="ギ主×","-","〇"))</f>
        <v/>
      </c>
      <c r="K18" s="298"/>
      <c r="L18" s="342">
        <f>E7</f>
        <v>0</v>
      </c>
      <c r="M18" s="342"/>
      <c r="N18" s="342"/>
      <c r="O18" s="342"/>
      <c r="P18" s="342"/>
      <c r="Q18" s="343"/>
      <c r="R18" s="120" t="s">
        <v>1</v>
      </c>
      <c r="S18" s="352" t="str">
        <f>IF(国民健康保険税試算シート!C16="〇",IF(国民健康保険税試算シート!D16+国民健康保険税試算シート!E16&gt;0,"〇",""),"")</f>
        <v/>
      </c>
      <c r="T18" s="352"/>
      <c r="U18" s="352"/>
      <c r="V18" s="353" t="str">
        <f>IF(AND(国民健康保険税試算シート!B16="65～74歳",国民健康保険税試算シート!E16&gt;0),"〇","")</f>
        <v/>
      </c>
      <c r="W18" s="353"/>
      <c r="X18" s="353"/>
      <c r="Y18" s="354">
        <f>IF(L18="","",IF(V18="",L18,IF(国民健康保険税試算シート!E16-150000&lt;0,国民健康保険税試算シート!G16-国民健康保険税試算シート!E16,L18-150000)))</f>
        <v>0</v>
      </c>
      <c r="Z18" s="354"/>
      <c r="AA18" s="354"/>
      <c r="AB18" s="354"/>
      <c r="AC18" s="354"/>
      <c r="AD18" s="355"/>
      <c r="AE18" s="121" t="s">
        <v>1</v>
      </c>
      <c r="AF18" s="149"/>
      <c r="AG18" s="149"/>
      <c r="AH18" s="149"/>
      <c r="AI18" s="158"/>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54"/>
    </row>
    <row r="19" spans="1:93" s="155" customFormat="1" ht="18" customHeight="1" thickBot="1">
      <c r="A19" s="153"/>
      <c r="B19" s="421" t="s">
        <v>39</v>
      </c>
      <c r="C19" s="422"/>
      <c r="D19" s="422"/>
      <c r="E19" s="380">
        <f>COUNTIF(J15:K18,"〇")</f>
        <v>0</v>
      </c>
      <c r="F19" s="423"/>
      <c r="G19" s="423"/>
      <c r="H19" s="423"/>
      <c r="I19" s="423"/>
      <c r="J19" s="424" t="s">
        <v>22</v>
      </c>
      <c r="K19" s="425"/>
      <c r="L19" s="379">
        <f>SUM(L15:Q18)</f>
        <v>0</v>
      </c>
      <c r="M19" s="379"/>
      <c r="N19" s="379"/>
      <c r="O19" s="379"/>
      <c r="P19" s="379"/>
      <c r="Q19" s="380"/>
      <c r="R19" s="131" t="s">
        <v>1</v>
      </c>
      <c r="S19" s="377">
        <f>COUNTIF(S15:U18,"〇")</f>
        <v>0</v>
      </c>
      <c r="T19" s="378"/>
      <c r="U19" s="132" t="s">
        <v>22</v>
      </c>
      <c r="V19" s="377">
        <f>COUNTIF(V15:X18,"〇")</f>
        <v>0</v>
      </c>
      <c r="W19" s="378"/>
      <c r="X19" s="132" t="s">
        <v>22</v>
      </c>
      <c r="Y19" s="379">
        <f>SUM(Y15:AD18)</f>
        <v>0</v>
      </c>
      <c r="Z19" s="379"/>
      <c r="AA19" s="379"/>
      <c r="AB19" s="379"/>
      <c r="AC19" s="379"/>
      <c r="AD19" s="380"/>
      <c r="AE19" s="133" t="s">
        <v>1</v>
      </c>
      <c r="AF19" s="149"/>
      <c r="AG19" s="149"/>
      <c r="AH19" s="149"/>
      <c r="AI19" s="158"/>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54"/>
    </row>
    <row r="20" spans="1:93" s="155" customFormat="1" ht="18" customHeight="1" thickTop="1">
      <c r="A20" s="153"/>
      <c r="B20"/>
      <c r="C20"/>
      <c r="D20"/>
      <c r="E20" s="156"/>
      <c r="F20" s="156"/>
      <c r="G20" s="156"/>
      <c r="H20" s="156"/>
      <c r="I20" s="156"/>
      <c r="J20" s="156"/>
      <c r="K20" s="157"/>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58"/>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229"/>
      <c r="BP20" s="229"/>
      <c r="BQ20" s="229"/>
      <c r="BR20" s="229"/>
      <c r="BS20" s="229"/>
      <c r="BT20" s="229"/>
      <c r="BU20" s="229"/>
      <c r="BV20" s="229"/>
      <c r="BW20" s="229"/>
      <c r="BX20" s="229"/>
      <c r="BY20" s="229"/>
      <c r="BZ20" s="229"/>
      <c r="CA20" s="229"/>
      <c r="CB20" s="229"/>
      <c r="CC20" s="229"/>
      <c r="CD20" s="229"/>
      <c r="CE20" s="229"/>
      <c r="CF20" s="229"/>
      <c r="CG20" s="229"/>
      <c r="CH20" s="229"/>
      <c r="CI20" s="229"/>
      <c r="CJ20" s="230"/>
    </row>
    <row r="21" spans="1:93" ht="18" customHeight="1">
      <c r="A21" s="441" t="s">
        <v>14</v>
      </c>
      <c r="B21" s="312"/>
      <c r="C21" s="312"/>
      <c r="D21" s="312"/>
      <c r="E21" s="312"/>
      <c r="F21" s="312"/>
      <c r="G21" s="312"/>
      <c r="H21" s="312"/>
      <c r="I21" s="312"/>
      <c r="J21" s="312"/>
      <c r="K21" s="312"/>
      <c r="L21" s="312"/>
      <c r="M21" s="312"/>
      <c r="N21" s="312"/>
      <c r="O21" s="312"/>
      <c r="P21" s="312"/>
      <c r="Q21" s="312"/>
      <c r="R21" s="312"/>
      <c r="S21" s="312"/>
      <c r="T21" s="312"/>
      <c r="U21" s="312"/>
      <c r="V21" s="313"/>
      <c r="W21" s="442" t="s">
        <v>15</v>
      </c>
      <c r="X21" s="312"/>
      <c r="Y21" s="312"/>
      <c r="Z21" s="312"/>
      <c r="AA21" s="312"/>
      <c r="AB21" s="312"/>
      <c r="AC21" s="312"/>
      <c r="AD21" s="312"/>
      <c r="AE21" s="312"/>
      <c r="AF21" s="312"/>
      <c r="AG21" s="312"/>
      <c r="AH21" s="312"/>
      <c r="AI21" s="312"/>
      <c r="AJ21" s="312"/>
      <c r="AK21" s="312"/>
      <c r="AL21" s="312"/>
      <c r="AM21" s="312"/>
      <c r="AN21" s="312"/>
      <c r="AO21" s="312"/>
      <c r="AP21" s="312"/>
      <c r="AQ21" s="312"/>
      <c r="AR21" s="313"/>
      <c r="AS21" s="442" t="s">
        <v>197</v>
      </c>
      <c r="AT21" s="312"/>
      <c r="AU21" s="312"/>
      <c r="AV21" s="312"/>
      <c r="AW21" s="312"/>
      <c r="AX21" s="312"/>
      <c r="AY21" s="312"/>
      <c r="AZ21" s="312"/>
      <c r="BA21" s="312"/>
      <c r="BB21" s="312"/>
      <c r="BC21" s="312"/>
      <c r="BD21" s="312"/>
      <c r="BE21" s="312"/>
      <c r="BF21" s="312"/>
      <c r="BG21" s="312"/>
      <c r="BH21" s="312"/>
      <c r="BI21" s="312"/>
      <c r="BJ21" s="312"/>
      <c r="BK21" s="312"/>
      <c r="BL21" s="312"/>
      <c r="BM21" s="312"/>
      <c r="BN21" s="312"/>
      <c r="BO21" s="442" t="s">
        <v>198</v>
      </c>
      <c r="BP21" s="312"/>
      <c r="BQ21" s="312"/>
      <c r="BR21" s="312"/>
      <c r="BS21" s="312"/>
      <c r="BT21" s="312"/>
      <c r="BU21" s="312"/>
      <c r="BV21" s="312"/>
      <c r="BW21" s="312"/>
      <c r="BX21" s="312"/>
      <c r="BY21" s="312"/>
      <c r="BZ21" s="312"/>
      <c r="CA21" s="312"/>
      <c r="CB21" s="312"/>
      <c r="CC21" s="312"/>
      <c r="CD21" s="312"/>
      <c r="CE21" s="312"/>
      <c r="CF21" s="312"/>
      <c r="CG21" s="312"/>
      <c r="CH21" s="312"/>
      <c r="CI21" s="312"/>
      <c r="CJ21" s="544"/>
      <c r="CK21"/>
      <c r="CL21"/>
      <c r="CM21"/>
      <c r="CN21"/>
      <c r="CO21"/>
    </row>
    <row r="22" spans="1:93" ht="18" customHeight="1">
      <c r="A22" s="159" t="s">
        <v>2</v>
      </c>
      <c r="B22" s="160"/>
      <c r="C22" s="160"/>
      <c r="D22" s="160"/>
      <c r="E22" s="160"/>
      <c r="F22" s="160"/>
      <c r="G22" s="160"/>
      <c r="H22" s="160"/>
      <c r="I22" s="160"/>
      <c r="J22" s="160"/>
      <c r="K22" s="160"/>
      <c r="L22" s="160"/>
      <c r="M22" s="160"/>
      <c r="N22" s="160"/>
      <c r="O22" s="160"/>
      <c r="P22" s="160"/>
      <c r="Q22" s="160"/>
      <c r="R22" s="160"/>
      <c r="S22" s="160"/>
      <c r="T22" s="160"/>
      <c r="U22" s="160"/>
      <c r="V22" s="161"/>
      <c r="W22" s="162" t="s">
        <v>2</v>
      </c>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3" t="s">
        <v>2</v>
      </c>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3" t="s">
        <v>2</v>
      </c>
      <c r="BP22" s="160"/>
      <c r="BQ22" s="160"/>
      <c r="BR22" s="160"/>
      <c r="BS22" s="160"/>
      <c r="BT22" s="160"/>
      <c r="BU22" s="160"/>
      <c r="BV22" s="160"/>
      <c r="BW22" s="160"/>
      <c r="BX22" s="160"/>
      <c r="BY22" s="160"/>
      <c r="BZ22" s="160"/>
      <c r="CA22" s="160"/>
      <c r="CB22" s="160"/>
      <c r="CC22" s="160"/>
      <c r="CD22" s="160"/>
      <c r="CE22" s="160"/>
      <c r="CF22" s="160"/>
      <c r="CG22" s="160"/>
      <c r="CH22" s="160"/>
      <c r="CI22" s="160"/>
      <c r="CJ22" s="164"/>
      <c r="CK22"/>
      <c r="CL22"/>
      <c r="CM22"/>
      <c r="CN22"/>
      <c r="CO22"/>
    </row>
    <row r="23" spans="1:93" ht="18" customHeight="1">
      <c r="A23" s="165"/>
      <c r="B23" s="160" t="s">
        <v>3</v>
      </c>
      <c r="C23" s="160"/>
      <c r="D23" s="160"/>
      <c r="E23" s="160"/>
      <c r="F23" s="160"/>
      <c r="G23" s="160" t="s">
        <v>7</v>
      </c>
      <c r="H23" s="160"/>
      <c r="I23" s="160"/>
      <c r="J23" s="160"/>
      <c r="K23" s="160"/>
      <c r="L23" s="160"/>
      <c r="M23" s="160" t="s">
        <v>8</v>
      </c>
      <c r="N23" s="160"/>
      <c r="O23" s="160"/>
      <c r="P23" s="160"/>
      <c r="Q23" s="160"/>
      <c r="R23" s="160"/>
      <c r="S23" s="160"/>
      <c r="T23" s="160"/>
      <c r="U23" s="160"/>
      <c r="V23" s="161"/>
      <c r="W23" s="160"/>
      <c r="X23" s="160" t="s">
        <v>3</v>
      </c>
      <c r="Y23" s="160"/>
      <c r="Z23" s="160"/>
      <c r="AA23" s="160"/>
      <c r="AB23" s="160"/>
      <c r="AC23" s="160" t="s">
        <v>7</v>
      </c>
      <c r="AD23" s="160"/>
      <c r="AE23" s="160"/>
      <c r="AF23" s="160"/>
      <c r="AG23" s="160"/>
      <c r="AH23" s="160"/>
      <c r="AI23" s="160" t="s">
        <v>8</v>
      </c>
      <c r="AJ23" s="160"/>
      <c r="AK23" s="160"/>
      <c r="AL23" s="160"/>
      <c r="AM23" s="160"/>
      <c r="AN23" s="160"/>
      <c r="AO23" s="160"/>
      <c r="AP23" s="160"/>
      <c r="AQ23" s="160"/>
      <c r="AR23" s="160"/>
      <c r="AS23" s="166"/>
      <c r="AT23" s="160" t="s">
        <v>3</v>
      </c>
      <c r="AU23" s="160"/>
      <c r="AV23" s="160"/>
      <c r="AW23" s="160"/>
      <c r="AX23" s="160"/>
      <c r="AY23" s="160" t="s">
        <v>7</v>
      </c>
      <c r="AZ23" s="160"/>
      <c r="BA23" s="160"/>
      <c r="BB23" s="160"/>
      <c r="BC23" s="160"/>
      <c r="BD23" s="160"/>
      <c r="BE23" s="160" t="s">
        <v>8</v>
      </c>
      <c r="BF23" s="160"/>
      <c r="BG23" s="160"/>
      <c r="BH23" s="160"/>
      <c r="BI23" s="160"/>
      <c r="BJ23" s="160"/>
      <c r="BK23" s="160"/>
      <c r="BL23" s="160"/>
      <c r="BM23" s="160"/>
      <c r="BN23" s="160"/>
      <c r="BO23" s="166"/>
      <c r="BP23" s="160" t="s">
        <v>3</v>
      </c>
      <c r="BQ23" s="160"/>
      <c r="BR23" s="160"/>
      <c r="BS23" s="160"/>
      <c r="BT23" s="160"/>
      <c r="BU23" s="160" t="s">
        <v>7</v>
      </c>
      <c r="BV23" s="160"/>
      <c r="BW23" s="160"/>
      <c r="BX23" s="160"/>
      <c r="BY23" s="160"/>
      <c r="BZ23" s="160"/>
      <c r="CA23" s="160" t="s">
        <v>8</v>
      </c>
      <c r="CB23" s="160"/>
      <c r="CC23" s="160"/>
      <c r="CD23" s="160"/>
      <c r="CE23" s="160"/>
      <c r="CF23" s="160"/>
      <c r="CG23" s="160"/>
      <c r="CH23" s="160"/>
      <c r="CI23" s="160"/>
      <c r="CJ23" s="164"/>
      <c r="CK23"/>
      <c r="CL23"/>
      <c r="CM23"/>
      <c r="CN23"/>
      <c r="CO23"/>
    </row>
    <row r="24" spans="1:93" ht="18" customHeight="1">
      <c r="A24" s="165" t="s">
        <v>4</v>
      </c>
      <c r="B24" s="426">
        <f>E4</f>
        <v>0</v>
      </c>
      <c r="C24" s="426"/>
      <c r="D24" s="426"/>
      <c r="E24" s="426"/>
      <c r="F24" s="167" t="s">
        <v>5</v>
      </c>
      <c r="G24" s="427">
        <f>職員設定用!$B$19</f>
        <v>430000</v>
      </c>
      <c r="H24" s="427"/>
      <c r="I24" s="427"/>
      <c r="J24" s="427"/>
      <c r="K24" s="160" t="s">
        <v>6</v>
      </c>
      <c r="L24" s="160"/>
      <c r="M24" s="428">
        <f>AL5</f>
        <v>7.6499999999999995</v>
      </c>
      <c r="N24" s="428"/>
      <c r="O24" s="438" t="s">
        <v>13</v>
      </c>
      <c r="P24" s="438"/>
      <c r="Q24" s="439">
        <f>IF(E4&lt;職員設定用!$B$19,0,(B24-G24)*M24/100)</f>
        <v>0</v>
      </c>
      <c r="R24" s="440"/>
      <c r="S24" s="440"/>
      <c r="T24" s="440"/>
      <c r="U24" s="168" t="s">
        <v>1</v>
      </c>
      <c r="V24" s="161"/>
      <c r="W24" s="160" t="s">
        <v>4</v>
      </c>
      <c r="X24" s="426">
        <f>E4</f>
        <v>0</v>
      </c>
      <c r="Y24" s="426"/>
      <c r="Z24" s="426"/>
      <c r="AA24" s="426"/>
      <c r="AB24" s="167" t="s">
        <v>5</v>
      </c>
      <c r="AC24" s="427">
        <f>G24</f>
        <v>430000</v>
      </c>
      <c r="AD24" s="427"/>
      <c r="AE24" s="427"/>
      <c r="AF24" s="427"/>
      <c r="AG24" s="160" t="s">
        <v>6</v>
      </c>
      <c r="AH24" s="160"/>
      <c r="AI24" s="428">
        <f>AQ5</f>
        <v>2.6100000000000003</v>
      </c>
      <c r="AJ24" s="428"/>
      <c r="AK24" s="438" t="s">
        <v>13</v>
      </c>
      <c r="AL24" s="438"/>
      <c r="AM24" s="439">
        <f>IF(E4&lt;職員設定用!$B$19,0,(X24-AC24)*AI24/100)</f>
        <v>0</v>
      </c>
      <c r="AN24" s="440"/>
      <c r="AO24" s="440"/>
      <c r="AP24" s="440"/>
      <c r="AQ24" s="168" t="s">
        <v>1</v>
      </c>
      <c r="AR24" s="160"/>
      <c r="AS24" s="166" t="s">
        <v>4</v>
      </c>
      <c r="AT24" s="426">
        <f>O4</f>
        <v>0</v>
      </c>
      <c r="AU24" s="426"/>
      <c r="AV24" s="426"/>
      <c r="AW24" s="426"/>
      <c r="AX24" s="167" t="s">
        <v>5</v>
      </c>
      <c r="AY24" s="427">
        <f>AC24</f>
        <v>430000</v>
      </c>
      <c r="AZ24" s="427"/>
      <c r="BA24" s="427"/>
      <c r="BB24" s="427"/>
      <c r="BC24" s="160" t="s">
        <v>6</v>
      </c>
      <c r="BD24" s="160"/>
      <c r="BE24" s="428">
        <f>AV5</f>
        <v>2.27</v>
      </c>
      <c r="BF24" s="428"/>
      <c r="BG24" s="438" t="s">
        <v>13</v>
      </c>
      <c r="BH24" s="438"/>
      <c r="BI24" s="439">
        <f>IF(AT24&lt;職員設定用!$B$19,0,(AT24-AY24)*BE24/100)</f>
        <v>0</v>
      </c>
      <c r="BJ24" s="440"/>
      <c r="BK24" s="440"/>
      <c r="BL24" s="440"/>
      <c r="BM24" s="168" t="s">
        <v>1</v>
      </c>
      <c r="BN24" s="171"/>
      <c r="BO24" s="166" t="s">
        <v>4</v>
      </c>
      <c r="BP24" s="426">
        <f>E4</f>
        <v>0</v>
      </c>
      <c r="BQ24" s="426"/>
      <c r="BR24" s="426"/>
      <c r="BS24" s="426"/>
      <c r="BT24" s="167" t="s">
        <v>5</v>
      </c>
      <c r="BU24" s="427">
        <f>AY24</f>
        <v>430000</v>
      </c>
      <c r="BV24" s="427"/>
      <c r="BW24" s="427"/>
      <c r="BX24" s="427"/>
      <c r="BY24" s="160" t="s">
        <v>6</v>
      </c>
      <c r="BZ24" s="160"/>
      <c r="CA24" s="428">
        <f>BA5</f>
        <v>0.28999999999999998</v>
      </c>
      <c r="CB24" s="428"/>
      <c r="CC24" s="438" t="s">
        <v>13</v>
      </c>
      <c r="CD24" s="438"/>
      <c r="CE24" s="439">
        <f>IF(BP24&lt;職員設定用!$B$19,0,(BP24-BU24)*CA24/100)</f>
        <v>0</v>
      </c>
      <c r="CF24" s="440"/>
      <c r="CG24" s="440"/>
      <c r="CH24" s="440"/>
      <c r="CI24" s="168" t="s">
        <v>1</v>
      </c>
      <c r="CJ24" s="169"/>
      <c r="CK24"/>
      <c r="CL24"/>
      <c r="CM24"/>
      <c r="CN24"/>
      <c r="CO24"/>
    </row>
    <row r="25" spans="1:93" ht="18" customHeight="1">
      <c r="A25" s="165" t="s">
        <v>4</v>
      </c>
      <c r="B25" s="426">
        <f>E5</f>
        <v>0</v>
      </c>
      <c r="C25" s="426"/>
      <c r="D25" s="426"/>
      <c r="E25" s="426"/>
      <c r="F25" s="167" t="s">
        <v>5</v>
      </c>
      <c r="G25" s="427">
        <f>G24</f>
        <v>430000</v>
      </c>
      <c r="H25" s="427"/>
      <c r="I25" s="427"/>
      <c r="J25" s="427"/>
      <c r="K25" s="160" t="s">
        <v>6</v>
      </c>
      <c r="L25" s="160"/>
      <c r="M25" s="428">
        <f>AL5</f>
        <v>7.6499999999999995</v>
      </c>
      <c r="N25" s="428"/>
      <c r="O25" s="438" t="s">
        <v>13</v>
      </c>
      <c r="P25" s="438"/>
      <c r="Q25" s="439">
        <f>IF(E5&lt;職員設定用!$B$19,0,(B25-G25)*M25/100)</f>
        <v>0</v>
      </c>
      <c r="R25" s="440"/>
      <c r="S25" s="440"/>
      <c r="T25" s="440"/>
      <c r="U25" s="168" t="s">
        <v>1</v>
      </c>
      <c r="V25" s="170"/>
      <c r="W25" s="160" t="s">
        <v>4</v>
      </c>
      <c r="X25" s="426">
        <f>E5</f>
        <v>0</v>
      </c>
      <c r="Y25" s="426"/>
      <c r="Z25" s="426"/>
      <c r="AA25" s="426"/>
      <c r="AB25" s="167" t="s">
        <v>5</v>
      </c>
      <c r="AC25" s="427">
        <f>AC24</f>
        <v>430000</v>
      </c>
      <c r="AD25" s="427"/>
      <c r="AE25" s="427"/>
      <c r="AF25" s="427"/>
      <c r="AG25" s="160" t="s">
        <v>6</v>
      </c>
      <c r="AH25" s="160"/>
      <c r="AI25" s="428">
        <f>AQ5</f>
        <v>2.6100000000000003</v>
      </c>
      <c r="AJ25" s="428"/>
      <c r="AK25" s="438" t="s">
        <v>13</v>
      </c>
      <c r="AL25" s="438"/>
      <c r="AM25" s="439">
        <f>IF(E5&lt;職員設定用!$B$19,0,(X25-AC25)*AI25/100)</f>
        <v>0</v>
      </c>
      <c r="AN25" s="440"/>
      <c r="AO25" s="440"/>
      <c r="AP25" s="440"/>
      <c r="AQ25" s="168" t="s">
        <v>1</v>
      </c>
      <c r="AR25" s="171"/>
      <c r="AS25" s="166" t="s">
        <v>4</v>
      </c>
      <c r="AT25" s="426">
        <f>O5</f>
        <v>0</v>
      </c>
      <c r="AU25" s="426"/>
      <c r="AV25" s="426"/>
      <c r="AW25" s="426"/>
      <c r="AX25" s="167" t="s">
        <v>5</v>
      </c>
      <c r="AY25" s="427">
        <f>AC25</f>
        <v>430000</v>
      </c>
      <c r="AZ25" s="427"/>
      <c r="BA25" s="427"/>
      <c r="BB25" s="427"/>
      <c r="BC25" s="160" t="s">
        <v>6</v>
      </c>
      <c r="BD25" s="160"/>
      <c r="BE25" s="428">
        <f>AV5</f>
        <v>2.27</v>
      </c>
      <c r="BF25" s="428"/>
      <c r="BG25" s="438" t="s">
        <v>13</v>
      </c>
      <c r="BH25" s="438"/>
      <c r="BI25" s="439">
        <f>IF(AT25&lt;職員設定用!$B$19,0,(AT25-AY25)*BE25/100)</f>
        <v>0</v>
      </c>
      <c r="BJ25" s="440"/>
      <c r="BK25" s="440"/>
      <c r="BL25" s="440"/>
      <c r="BM25" s="168" t="s">
        <v>1</v>
      </c>
      <c r="BN25" s="171"/>
      <c r="BO25" s="166" t="s">
        <v>4</v>
      </c>
      <c r="BP25" s="426">
        <f t="shared" ref="BP25:BP27" si="1">E5</f>
        <v>0</v>
      </c>
      <c r="BQ25" s="426"/>
      <c r="BR25" s="426"/>
      <c r="BS25" s="426"/>
      <c r="BT25" s="167" t="s">
        <v>5</v>
      </c>
      <c r="BU25" s="427">
        <f>AY25</f>
        <v>430000</v>
      </c>
      <c r="BV25" s="427"/>
      <c r="BW25" s="427"/>
      <c r="BX25" s="427"/>
      <c r="BY25" s="160" t="s">
        <v>6</v>
      </c>
      <c r="BZ25" s="160"/>
      <c r="CA25" s="428">
        <f>BA5</f>
        <v>0.28999999999999998</v>
      </c>
      <c r="CB25" s="428"/>
      <c r="CC25" s="438" t="s">
        <v>13</v>
      </c>
      <c r="CD25" s="438"/>
      <c r="CE25" s="439">
        <f>IF(BP25&lt;職員設定用!$B$19,0,(BP25-BU25)*CA25/100)</f>
        <v>0</v>
      </c>
      <c r="CF25" s="440"/>
      <c r="CG25" s="440"/>
      <c r="CH25" s="440"/>
      <c r="CI25" s="168" t="s">
        <v>1</v>
      </c>
      <c r="CJ25" s="169"/>
      <c r="CK25"/>
      <c r="CL25"/>
      <c r="CM25"/>
      <c r="CN25"/>
      <c r="CO25"/>
    </row>
    <row r="26" spans="1:93" ht="18" customHeight="1">
      <c r="A26" s="165" t="s">
        <v>4</v>
      </c>
      <c r="B26" s="426">
        <f>E6</f>
        <v>0</v>
      </c>
      <c r="C26" s="426"/>
      <c r="D26" s="426"/>
      <c r="E26" s="426"/>
      <c r="F26" s="167" t="s">
        <v>5</v>
      </c>
      <c r="G26" s="427">
        <f>G24</f>
        <v>430000</v>
      </c>
      <c r="H26" s="427"/>
      <c r="I26" s="427"/>
      <c r="J26" s="427"/>
      <c r="K26" s="160" t="s">
        <v>6</v>
      </c>
      <c r="L26" s="160"/>
      <c r="M26" s="428">
        <f>AL5</f>
        <v>7.6499999999999995</v>
      </c>
      <c r="N26" s="428"/>
      <c r="O26" s="438" t="s">
        <v>13</v>
      </c>
      <c r="P26" s="438"/>
      <c r="Q26" s="439">
        <f>IF(E6&lt;職員設定用!$B$19,0,(B26-G26)*M26/100)</f>
        <v>0</v>
      </c>
      <c r="R26" s="440"/>
      <c r="S26" s="440"/>
      <c r="T26" s="440"/>
      <c r="U26" s="168" t="s">
        <v>1</v>
      </c>
      <c r="V26" s="161"/>
      <c r="W26" s="160" t="s">
        <v>4</v>
      </c>
      <c r="X26" s="426">
        <f>E6</f>
        <v>0</v>
      </c>
      <c r="Y26" s="426"/>
      <c r="Z26" s="426"/>
      <c r="AA26" s="426"/>
      <c r="AB26" s="167" t="s">
        <v>5</v>
      </c>
      <c r="AC26" s="427">
        <f>AC24</f>
        <v>430000</v>
      </c>
      <c r="AD26" s="427"/>
      <c r="AE26" s="427"/>
      <c r="AF26" s="427"/>
      <c r="AG26" s="160" t="s">
        <v>6</v>
      </c>
      <c r="AH26" s="160"/>
      <c r="AI26" s="428">
        <f>AQ5</f>
        <v>2.6100000000000003</v>
      </c>
      <c r="AJ26" s="428"/>
      <c r="AK26" s="438" t="s">
        <v>13</v>
      </c>
      <c r="AL26" s="438"/>
      <c r="AM26" s="439">
        <f>IF(E6&lt;職員設定用!$B$19,0,(X26-AC26)*AI26/100)</f>
        <v>0</v>
      </c>
      <c r="AN26" s="440"/>
      <c r="AO26" s="440"/>
      <c r="AP26" s="440"/>
      <c r="AQ26" s="168" t="s">
        <v>1</v>
      </c>
      <c r="AR26" s="160"/>
      <c r="AS26" s="166" t="s">
        <v>4</v>
      </c>
      <c r="AT26" s="426">
        <f>O6</f>
        <v>0</v>
      </c>
      <c r="AU26" s="426"/>
      <c r="AV26" s="426"/>
      <c r="AW26" s="426"/>
      <c r="AX26" s="167" t="s">
        <v>5</v>
      </c>
      <c r="AY26" s="427">
        <f>AC26</f>
        <v>430000</v>
      </c>
      <c r="AZ26" s="427"/>
      <c r="BA26" s="427"/>
      <c r="BB26" s="427"/>
      <c r="BC26" s="160" t="s">
        <v>6</v>
      </c>
      <c r="BD26" s="160"/>
      <c r="BE26" s="428">
        <f>AV5</f>
        <v>2.27</v>
      </c>
      <c r="BF26" s="428"/>
      <c r="BG26" s="438" t="s">
        <v>13</v>
      </c>
      <c r="BH26" s="438"/>
      <c r="BI26" s="439">
        <f>IF(AT26&lt;職員設定用!$B$19,0,(AT26-AY26)*BE26/100)</f>
        <v>0</v>
      </c>
      <c r="BJ26" s="440"/>
      <c r="BK26" s="440"/>
      <c r="BL26" s="440"/>
      <c r="BM26" s="168" t="s">
        <v>1</v>
      </c>
      <c r="BN26" s="171" ph="1"/>
      <c r="BO26" s="166" t="s">
        <v>4</v>
      </c>
      <c r="BP26" s="426">
        <f t="shared" si="1"/>
        <v>0</v>
      </c>
      <c r="BQ26" s="426"/>
      <c r="BR26" s="426"/>
      <c r="BS26" s="426"/>
      <c r="BT26" s="167" t="s">
        <v>5</v>
      </c>
      <c r="BU26" s="427">
        <f>AY26</f>
        <v>430000</v>
      </c>
      <c r="BV26" s="427"/>
      <c r="BW26" s="427"/>
      <c r="BX26" s="427"/>
      <c r="BY26" s="160" t="s">
        <v>6</v>
      </c>
      <c r="BZ26" s="160"/>
      <c r="CA26" s="428">
        <f>BA5</f>
        <v>0.28999999999999998</v>
      </c>
      <c r="CB26" s="428"/>
      <c r="CC26" s="438" t="s">
        <v>13</v>
      </c>
      <c r="CD26" s="438"/>
      <c r="CE26" s="439">
        <f>IF(BP26&lt;職員設定用!$B$19,0,(BP26-BU26)*CA26/100)</f>
        <v>0</v>
      </c>
      <c r="CF26" s="440"/>
      <c r="CG26" s="440"/>
      <c r="CH26" s="440"/>
      <c r="CI26" s="168" t="s">
        <v>1</v>
      </c>
      <c r="CJ26" s="169" ph="1"/>
      <c r="CK26"/>
      <c r="CL26"/>
      <c r="CM26"/>
      <c r="CN26"/>
      <c r="CO26"/>
    </row>
    <row r="27" spans="1:93" ht="18" customHeight="1">
      <c r="A27" s="172" t="s">
        <v>4</v>
      </c>
      <c r="B27" s="446">
        <f>E7</f>
        <v>0</v>
      </c>
      <c r="C27" s="446"/>
      <c r="D27" s="446"/>
      <c r="E27" s="446"/>
      <c r="F27" s="173" t="s">
        <v>5</v>
      </c>
      <c r="G27" s="443">
        <f>G24</f>
        <v>430000</v>
      </c>
      <c r="H27" s="443"/>
      <c r="I27" s="443"/>
      <c r="J27" s="443"/>
      <c r="K27" s="174" t="s">
        <v>6</v>
      </c>
      <c r="L27" s="174"/>
      <c r="M27" s="444">
        <f>AL5</f>
        <v>7.6499999999999995</v>
      </c>
      <c r="N27" s="444"/>
      <c r="O27" s="445" t="s">
        <v>13</v>
      </c>
      <c r="P27" s="445"/>
      <c r="Q27" s="439">
        <f>IF(E7&lt;職員設定用!$B$19,0,(B27-G27)*M27/100)</f>
        <v>0</v>
      </c>
      <c r="R27" s="440"/>
      <c r="S27" s="440"/>
      <c r="T27" s="440"/>
      <c r="U27" s="168" t="s">
        <v>1</v>
      </c>
      <c r="V27" s="175"/>
      <c r="W27" s="176" t="s">
        <v>4</v>
      </c>
      <c r="X27" s="446">
        <f>E7</f>
        <v>0</v>
      </c>
      <c r="Y27" s="446"/>
      <c r="Z27" s="446"/>
      <c r="AA27" s="446"/>
      <c r="AB27" s="173" t="s">
        <v>5</v>
      </c>
      <c r="AC27" s="443">
        <f>AC24</f>
        <v>430000</v>
      </c>
      <c r="AD27" s="443"/>
      <c r="AE27" s="443"/>
      <c r="AF27" s="443"/>
      <c r="AG27" s="174" t="s">
        <v>6</v>
      </c>
      <c r="AH27" s="174"/>
      <c r="AI27" s="444">
        <f>AQ5</f>
        <v>2.6100000000000003</v>
      </c>
      <c r="AJ27" s="444"/>
      <c r="AK27" s="445" t="s">
        <v>13</v>
      </c>
      <c r="AL27" s="445"/>
      <c r="AM27" s="439">
        <f>IF(E7&lt;職員設定用!$B$19,0,(X27-AC27)*AI27/100)</f>
        <v>0</v>
      </c>
      <c r="AN27" s="440"/>
      <c r="AO27" s="440"/>
      <c r="AP27" s="440"/>
      <c r="AQ27" s="168" t="s">
        <v>1</v>
      </c>
      <c r="AR27" s="177"/>
      <c r="AS27" s="176" t="s">
        <v>4</v>
      </c>
      <c r="AT27" s="446">
        <f>O7</f>
        <v>0</v>
      </c>
      <c r="AU27" s="446"/>
      <c r="AV27" s="446"/>
      <c r="AW27" s="446"/>
      <c r="AX27" s="173" t="s">
        <v>5</v>
      </c>
      <c r="AY27" s="443">
        <f>AC27</f>
        <v>430000</v>
      </c>
      <c r="AZ27" s="443"/>
      <c r="BA27" s="443"/>
      <c r="BB27" s="443"/>
      <c r="BC27" s="174" t="s">
        <v>6</v>
      </c>
      <c r="BD27" s="174"/>
      <c r="BE27" s="444">
        <f>AV5</f>
        <v>2.27</v>
      </c>
      <c r="BF27" s="444"/>
      <c r="BG27" s="445" t="s">
        <v>13</v>
      </c>
      <c r="BH27" s="445"/>
      <c r="BI27" s="549">
        <f>IF(AT27&lt;職員設定用!$B$19,0,(AT27-AY27)*BE27/100)</f>
        <v>0</v>
      </c>
      <c r="BJ27" s="550"/>
      <c r="BK27" s="550"/>
      <c r="BL27" s="550"/>
      <c r="BM27" s="178" t="s">
        <v>1</v>
      </c>
      <c r="BN27" s="177" ph="1"/>
      <c r="BO27" s="176" t="s">
        <v>4</v>
      </c>
      <c r="BP27" s="446">
        <f t="shared" si="1"/>
        <v>0</v>
      </c>
      <c r="BQ27" s="446"/>
      <c r="BR27" s="446"/>
      <c r="BS27" s="446"/>
      <c r="BT27" s="173" t="s">
        <v>5</v>
      </c>
      <c r="BU27" s="443">
        <f>AY27</f>
        <v>430000</v>
      </c>
      <c r="BV27" s="443"/>
      <c r="BW27" s="443"/>
      <c r="BX27" s="443"/>
      <c r="BY27" s="174" t="s">
        <v>6</v>
      </c>
      <c r="BZ27" s="174"/>
      <c r="CA27" s="444">
        <f>BA5</f>
        <v>0.28999999999999998</v>
      </c>
      <c r="CB27" s="444"/>
      <c r="CC27" s="445" t="s">
        <v>13</v>
      </c>
      <c r="CD27" s="445"/>
      <c r="CE27" s="549">
        <f>IF(BP27&lt;職員設定用!$B$19,0,(BP27-BU27)*CA27/100)</f>
        <v>0</v>
      </c>
      <c r="CF27" s="550"/>
      <c r="CG27" s="550"/>
      <c r="CH27" s="550"/>
      <c r="CI27" s="178" t="s">
        <v>1</v>
      </c>
      <c r="CJ27" s="179" ph="1"/>
      <c r="CK27" s="180"/>
      <c r="CL27" s="180"/>
      <c r="CM27" s="180"/>
      <c r="CN27" s="180"/>
      <c r="CO27" s="180"/>
    </row>
    <row r="28" spans="1:93" ht="18" customHeight="1">
      <c r="A28" s="159" t="s">
        <v>29</v>
      </c>
      <c r="B28" s="160"/>
      <c r="C28" s="160"/>
      <c r="D28" s="160"/>
      <c r="E28" s="160"/>
      <c r="F28" s="160"/>
      <c r="G28" s="160"/>
      <c r="H28" s="160"/>
      <c r="I28" s="160"/>
      <c r="J28" s="160"/>
      <c r="K28" s="160"/>
      <c r="L28" s="160"/>
      <c r="M28" s="160"/>
      <c r="N28" s="160"/>
      <c r="O28" s="160"/>
      <c r="P28" s="160"/>
      <c r="Q28" s="160"/>
      <c r="R28" s="160"/>
      <c r="S28" s="160"/>
      <c r="T28" s="160"/>
      <c r="U28" s="160"/>
      <c r="V28" s="161"/>
      <c r="W28" s="163" t="s">
        <v>29</v>
      </c>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3" t="s">
        <v>29</v>
      </c>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3" t="s">
        <v>202</v>
      </c>
      <c r="BP28" s="160"/>
      <c r="BQ28" s="160"/>
      <c r="BR28" s="160"/>
      <c r="BS28" s="160"/>
      <c r="BT28" s="160"/>
      <c r="BU28" s="160"/>
      <c r="BV28" s="160"/>
      <c r="BW28" s="160"/>
      <c r="BX28" s="160"/>
      <c r="BY28" s="160"/>
      <c r="BZ28" s="160"/>
      <c r="CA28" s="160"/>
      <c r="CB28" s="160"/>
      <c r="CC28" s="160"/>
      <c r="CD28" s="160"/>
      <c r="CE28" s="160"/>
      <c r="CF28" s="160"/>
      <c r="CG28" s="160"/>
      <c r="CH28" s="160"/>
      <c r="CI28" s="160"/>
      <c r="CJ28" s="164"/>
      <c r="CK28"/>
      <c r="CL28"/>
      <c r="CM28"/>
      <c r="CN28"/>
      <c r="CO28"/>
    </row>
    <row r="29" spans="1:93" ht="18" customHeight="1">
      <c r="A29" s="165"/>
      <c r="B29" s="160" t="s">
        <v>9</v>
      </c>
      <c r="C29" s="160"/>
      <c r="D29" s="160"/>
      <c r="E29" s="160"/>
      <c r="F29" s="160"/>
      <c r="G29" s="160"/>
      <c r="H29" s="160"/>
      <c r="I29" s="160"/>
      <c r="J29" s="160"/>
      <c r="K29" s="160" t="s">
        <v>24</v>
      </c>
      <c r="L29" s="160"/>
      <c r="M29" s="160"/>
      <c r="N29" s="160"/>
      <c r="O29" s="160"/>
      <c r="P29" s="160"/>
      <c r="Q29" s="160"/>
      <c r="R29" s="160"/>
      <c r="S29" s="160"/>
      <c r="T29" s="160"/>
      <c r="U29" s="160"/>
      <c r="V29" s="161"/>
      <c r="W29" s="160"/>
      <c r="X29" s="160" t="s">
        <v>9</v>
      </c>
      <c r="Y29" s="160"/>
      <c r="Z29" s="160"/>
      <c r="AA29" s="160"/>
      <c r="AB29" s="160"/>
      <c r="AC29" s="160"/>
      <c r="AD29" s="160"/>
      <c r="AE29" s="160"/>
      <c r="AF29" s="160"/>
      <c r="AG29" s="160" t="s">
        <v>24</v>
      </c>
      <c r="AH29" s="160"/>
      <c r="AI29" s="160"/>
      <c r="AJ29" s="160"/>
      <c r="AK29" s="160"/>
      <c r="AL29" s="160"/>
      <c r="AM29" s="160"/>
      <c r="AN29" s="160"/>
      <c r="AO29" s="160"/>
      <c r="AP29" s="160"/>
      <c r="AQ29" s="160"/>
      <c r="AR29" s="160"/>
      <c r="AS29" s="166"/>
      <c r="AT29" s="160" t="s">
        <v>9</v>
      </c>
      <c r="AU29" s="160"/>
      <c r="AV29" s="160"/>
      <c r="AW29" s="160"/>
      <c r="AX29" s="160"/>
      <c r="AY29" s="160"/>
      <c r="AZ29" s="160"/>
      <c r="BA29" s="160"/>
      <c r="BB29" s="160"/>
      <c r="BC29" s="160" t="s">
        <v>24</v>
      </c>
      <c r="BD29" s="160"/>
      <c r="BE29" s="160"/>
      <c r="BF29" s="160"/>
      <c r="BG29" s="160"/>
      <c r="BH29" s="160"/>
      <c r="BI29" s="160"/>
      <c r="BJ29" s="160"/>
      <c r="BK29" s="160"/>
      <c r="BL29" s="160"/>
      <c r="BM29" s="160"/>
      <c r="BN29" s="160"/>
      <c r="BO29" s="166"/>
      <c r="BP29" s="160" t="s">
        <v>9</v>
      </c>
      <c r="BQ29" s="160"/>
      <c r="BR29" s="160"/>
      <c r="BS29" s="160"/>
      <c r="BT29" s="160"/>
      <c r="BU29" s="160"/>
      <c r="BV29" s="160"/>
      <c r="BW29" s="160"/>
      <c r="BX29" s="160"/>
      <c r="BY29" s="160" t="s">
        <v>24</v>
      </c>
      <c r="BZ29" s="160"/>
      <c r="CA29" s="160"/>
      <c r="CB29" s="160"/>
      <c r="CC29" s="160"/>
      <c r="CD29" s="160"/>
      <c r="CE29" s="160"/>
      <c r="CF29" s="160"/>
      <c r="CG29" s="160"/>
      <c r="CH29" s="160"/>
      <c r="CI29" s="160"/>
      <c r="CJ29" s="164"/>
      <c r="CK29"/>
      <c r="CL29"/>
      <c r="CM29"/>
      <c r="CN29"/>
      <c r="CO29"/>
    </row>
    <row r="30" spans="1:93" ht="18" customHeight="1">
      <c r="A30" s="165"/>
      <c r="B30" s="454">
        <f>H8-H9</f>
        <v>0</v>
      </c>
      <c r="C30" s="345"/>
      <c r="D30" s="345"/>
      <c r="E30" s="345"/>
      <c r="F30" s="160" t="s">
        <v>10</v>
      </c>
      <c r="G30" s="160"/>
      <c r="H30" s="160"/>
      <c r="I30" s="160"/>
      <c r="J30" s="160"/>
      <c r="K30" s="451">
        <f>AL6</f>
        <v>32600</v>
      </c>
      <c r="L30" s="451"/>
      <c r="M30" s="451"/>
      <c r="N30" s="451"/>
      <c r="O30" s="162" t="s">
        <v>11</v>
      </c>
      <c r="P30" s="160"/>
      <c r="Q30" s="452">
        <f>B30*K30</f>
        <v>0</v>
      </c>
      <c r="R30" s="453"/>
      <c r="S30" s="453"/>
      <c r="T30" s="453"/>
      <c r="U30" s="168" t="s">
        <v>1</v>
      </c>
      <c r="V30" s="161"/>
      <c r="W30" s="160"/>
      <c r="X30" s="345">
        <f>H8-H9</f>
        <v>0</v>
      </c>
      <c r="Y30" s="345"/>
      <c r="Z30" s="345"/>
      <c r="AA30" s="345"/>
      <c r="AB30" s="160" t="s">
        <v>10</v>
      </c>
      <c r="AC30" s="160"/>
      <c r="AD30" s="160"/>
      <c r="AE30" s="160"/>
      <c r="AF30" s="160"/>
      <c r="AG30" s="451">
        <f>AQ6</f>
        <v>10900</v>
      </c>
      <c r="AH30" s="451"/>
      <c r="AI30" s="451"/>
      <c r="AJ30" s="451"/>
      <c r="AK30" s="162" t="s">
        <v>11</v>
      </c>
      <c r="AL30" s="160"/>
      <c r="AM30" s="452">
        <f>X30*AG30</f>
        <v>0</v>
      </c>
      <c r="AN30" s="453"/>
      <c r="AO30" s="453"/>
      <c r="AP30" s="453"/>
      <c r="AQ30" s="168" t="s">
        <v>1</v>
      </c>
      <c r="AR30" s="160"/>
      <c r="AS30" s="166"/>
      <c r="AT30" s="454">
        <f>R8</f>
        <v>0</v>
      </c>
      <c r="AU30" s="345"/>
      <c r="AV30" s="345"/>
      <c r="AW30" s="345"/>
      <c r="AX30" s="160" t="s">
        <v>10</v>
      </c>
      <c r="AY30" s="160"/>
      <c r="AZ30" s="160"/>
      <c r="BA30" s="160"/>
      <c r="BB30" s="160"/>
      <c r="BC30" s="451">
        <f>AV6</f>
        <v>11500</v>
      </c>
      <c r="BD30" s="451"/>
      <c r="BE30" s="451"/>
      <c r="BF30" s="451"/>
      <c r="BG30" s="162" t="s">
        <v>11</v>
      </c>
      <c r="BH30" s="160"/>
      <c r="BI30" s="452">
        <f>AT30*BC30</f>
        <v>0</v>
      </c>
      <c r="BJ30" s="453"/>
      <c r="BK30" s="453"/>
      <c r="BL30" s="453"/>
      <c r="BM30" s="168" t="s">
        <v>1</v>
      </c>
      <c r="BN30" s="160"/>
      <c r="BO30" s="166"/>
      <c r="BP30" s="454">
        <f>AB8-AB9</f>
        <v>0</v>
      </c>
      <c r="BQ30" s="345"/>
      <c r="BR30" s="345"/>
      <c r="BS30" s="345"/>
      <c r="BT30" s="160" t="s">
        <v>10</v>
      </c>
      <c r="BU30" s="160"/>
      <c r="BV30" s="160"/>
      <c r="BW30" s="160"/>
      <c r="BX30" s="160"/>
      <c r="BY30" s="451">
        <f>BA6</f>
        <v>1200</v>
      </c>
      <c r="BZ30" s="451"/>
      <c r="CA30" s="451"/>
      <c r="CB30" s="451"/>
      <c r="CC30" s="162" t="s">
        <v>11</v>
      </c>
      <c r="CD30" s="160"/>
      <c r="CE30" s="452">
        <f>BP30*BY30</f>
        <v>0</v>
      </c>
      <c r="CF30" s="453"/>
      <c r="CG30" s="453"/>
      <c r="CH30" s="453"/>
      <c r="CI30" s="168" t="s">
        <v>1</v>
      </c>
      <c r="CJ30" s="164"/>
      <c r="CK30"/>
      <c r="CL30"/>
      <c r="CM30"/>
      <c r="CN30"/>
      <c r="CO30"/>
    </row>
    <row r="31" spans="1:93" ht="18" customHeight="1">
      <c r="A31" s="165"/>
      <c r="B31" s="454">
        <f>H9</f>
        <v>0</v>
      </c>
      <c r="C31" s="345"/>
      <c r="D31" s="345"/>
      <c r="E31" s="345"/>
      <c r="F31" s="160" t="s">
        <v>10</v>
      </c>
      <c r="G31" s="160"/>
      <c r="H31" s="160"/>
      <c r="I31" s="160"/>
      <c r="J31" s="160"/>
      <c r="K31" s="451">
        <f>AL6</f>
        <v>32600</v>
      </c>
      <c r="L31" s="451"/>
      <c r="M31" s="451"/>
      <c r="N31" s="451"/>
      <c r="O31" s="162" t="s">
        <v>11</v>
      </c>
      <c r="P31" s="160"/>
      <c r="Q31" s="452">
        <f>B31*K31</f>
        <v>0</v>
      </c>
      <c r="R31" s="453"/>
      <c r="S31" s="453"/>
      <c r="T31" s="453"/>
      <c r="U31" s="168" t="s">
        <v>1</v>
      </c>
      <c r="V31" s="161"/>
      <c r="W31" s="160"/>
      <c r="X31" s="345">
        <f>H9</f>
        <v>0</v>
      </c>
      <c r="Y31" s="345"/>
      <c r="Z31" s="345"/>
      <c r="AA31" s="345"/>
      <c r="AB31" s="160" t="s">
        <v>10</v>
      </c>
      <c r="AC31" s="160"/>
      <c r="AD31" s="160"/>
      <c r="AE31" s="160"/>
      <c r="AF31" s="160"/>
      <c r="AG31" s="451">
        <f>AQ6</f>
        <v>10900</v>
      </c>
      <c r="AH31" s="451"/>
      <c r="AI31" s="451"/>
      <c r="AJ31" s="451"/>
      <c r="AK31" s="162" t="s">
        <v>11</v>
      </c>
      <c r="AL31" s="160"/>
      <c r="AM31" s="452">
        <f>X31*AG31</f>
        <v>0</v>
      </c>
      <c r="AN31" s="453"/>
      <c r="AO31" s="453"/>
      <c r="AP31" s="453"/>
      <c r="AQ31" s="168" t="s">
        <v>1</v>
      </c>
      <c r="AR31" s="160"/>
      <c r="AS31" s="166"/>
      <c r="AT31" s="167"/>
      <c r="AU31" s="167"/>
      <c r="AV31" s="167"/>
      <c r="AW31" s="167"/>
      <c r="AX31" s="160"/>
      <c r="AY31" s="160"/>
      <c r="AZ31" s="160"/>
      <c r="BA31" s="160"/>
      <c r="BB31" s="160"/>
      <c r="BC31" s="181"/>
      <c r="BD31" s="181"/>
      <c r="BE31" s="181"/>
      <c r="BF31" s="181"/>
      <c r="BG31" s="162"/>
      <c r="BH31" s="160"/>
      <c r="BI31" s="182"/>
      <c r="BJ31" s="182"/>
      <c r="BK31" s="182"/>
      <c r="BL31" s="182"/>
      <c r="BM31" s="183"/>
      <c r="BN31" s="160"/>
      <c r="BO31" s="166"/>
      <c r="BP31" s="454">
        <f>AB8-AB9</f>
        <v>0</v>
      </c>
      <c r="BQ31" s="345"/>
      <c r="BR31" s="345"/>
      <c r="BS31" s="345"/>
      <c r="BT31" s="160" t="s">
        <v>10</v>
      </c>
      <c r="BU31" s="160"/>
      <c r="BV31" s="160"/>
      <c r="BW31" s="160"/>
      <c r="BX31" s="160"/>
      <c r="BY31" s="451">
        <f>BA8</f>
        <v>100</v>
      </c>
      <c r="BZ31" s="451"/>
      <c r="CA31" s="451"/>
      <c r="CB31" s="451"/>
      <c r="CC31" s="162" t="s">
        <v>11</v>
      </c>
      <c r="CD31" s="160"/>
      <c r="CE31" s="452">
        <f>BP31*BY31</f>
        <v>0</v>
      </c>
      <c r="CF31" s="453"/>
      <c r="CG31" s="453"/>
      <c r="CH31" s="453"/>
      <c r="CI31" s="168" t="s">
        <v>1</v>
      </c>
      <c r="CJ31" s="164"/>
      <c r="CK31"/>
      <c r="CL31"/>
      <c r="CM31"/>
      <c r="CN31"/>
      <c r="CO31"/>
    </row>
    <row r="32" spans="1:93" ht="18" customHeight="1">
      <c r="A32" s="172"/>
      <c r="B32" s="173"/>
      <c r="C32" s="173"/>
      <c r="D32" s="173"/>
      <c r="E32" s="173"/>
      <c r="F32" s="174"/>
      <c r="G32" s="174"/>
      <c r="H32" s="174"/>
      <c r="I32" s="174"/>
      <c r="J32" s="174"/>
      <c r="K32" s="184"/>
      <c r="L32" s="447" t="s">
        <v>28</v>
      </c>
      <c r="M32" s="447"/>
      <c r="N32" s="447"/>
      <c r="O32" s="447"/>
      <c r="P32" s="448"/>
      <c r="Q32" s="449">
        <f>IF(AJ17=0,"０",Q30*AJ17/10)+IF(AJ17=0,"0",Q31*AJ17/10)+IF(AJ17=0,"0",Q31*((10-AJ17)/10)*0.5)</f>
        <v>0</v>
      </c>
      <c r="R32" s="450"/>
      <c r="S32" s="450"/>
      <c r="T32" s="450"/>
      <c r="U32" s="185" t="s">
        <v>1</v>
      </c>
      <c r="V32" s="186"/>
      <c r="W32" s="174"/>
      <c r="X32" s="173"/>
      <c r="Y32" s="173"/>
      <c r="Z32" s="173"/>
      <c r="AA32" s="173"/>
      <c r="AB32" s="174"/>
      <c r="AC32" s="174"/>
      <c r="AD32" s="174"/>
      <c r="AE32" s="174"/>
      <c r="AF32" s="174"/>
      <c r="AG32" s="184"/>
      <c r="AH32" s="447" t="s">
        <v>28</v>
      </c>
      <c r="AI32" s="447"/>
      <c r="AJ32" s="447"/>
      <c r="AK32" s="447"/>
      <c r="AL32" s="448"/>
      <c r="AM32" s="449">
        <f>IF(AJ17=0,"０",AM30*AJ17/10)+IF(AJ17=0,"0",AM31*AJ17/10)+IF(AJ17=0,"0",AM31*((10-AJ17)/10)*0.5)</f>
        <v>0</v>
      </c>
      <c r="AN32" s="450"/>
      <c r="AO32" s="450"/>
      <c r="AP32" s="450"/>
      <c r="AQ32" s="185" t="s">
        <v>1</v>
      </c>
      <c r="AR32" s="174"/>
      <c r="AS32" s="176"/>
      <c r="AT32" s="173"/>
      <c r="AU32" s="173"/>
      <c r="AV32" s="173"/>
      <c r="AW32" s="173"/>
      <c r="AX32" s="174"/>
      <c r="AY32" s="174"/>
      <c r="AZ32" s="174"/>
      <c r="BA32" s="174"/>
      <c r="BB32" s="174"/>
      <c r="BC32" s="184"/>
      <c r="BD32" s="447" t="s">
        <v>28</v>
      </c>
      <c r="BE32" s="447"/>
      <c r="BF32" s="447"/>
      <c r="BG32" s="447"/>
      <c r="BH32" s="448"/>
      <c r="BI32" s="449">
        <f>IF(AJ17=0,"０",BI30*AJ17/10)</f>
        <v>0</v>
      </c>
      <c r="BJ32" s="450"/>
      <c r="BK32" s="450"/>
      <c r="BL32" s="450"/>
      <c r="BM32" s="185" t="s">
        <v>1</v>
      </c>
      <c r="BN32" s="174"/>
      <c r="BO32" s="176"/>
      <c r="BP32" s="173"/>
      <c r="BQ32" s="173"/>
      <c r="BR32" s="173"/>
      <c r="BS32" s="173"/>
      <c r="BT32" s="174"/>
      <c r="BU32" s="174"/>
      <c r="BV32" s="174"/>
      <c r="BW32" s="174"/>
      <c r="BX32" s="174"/>
      <c r="BY32" s="184"/>
      <c r="BZ32" s="447" t="s">
        <v>28</v>
      </c>
      <c r="CA32" s="447"/>
      <c r="CB32" s="447"/>
      <c r="CC32" s="447"/>
      <c r="CD32" s="448"/>
      <c r="CE32" s="449">
        <f>IF(AJ17=0,"０",CE30*AJ17/10)+IF(AJ17=0,"0",CE31*AJ17/10)</f>
        <v>0</v>
      </c>
      <c r="CF32" s="450"/>
      <c r="CG32" s="450"/>
      <c r="CH32" s="450"/>
      <c r="CI32" s="185" t="s">
        <v>1</v>
      </c>
      <c r="CJ32" s="187"/>
      <c r="CK32"/>
      <c r="CL32"/>
      <c r="CM32"/>
      <c r="CN32"/>
      <c r="CO32"/>
    </row>
    <row r="33" spans="1:93" ht="18" customHeight="1">
      <c r="A33" s="159" t="s">
        <v>30</v>
      </c>
      <c r="B33" s="160"/>
      <c r="C33" s="160"/>
      <c r="D33" s="160"/>
      <c r="E33" s="160"/>
      <c r="F33" s="160"/>
      <c r="G33" s="160"/>
      <c r="H33" s="160"/>
      <c r="I33" s="160"/>
      <c r="J33" s="160"/>
      <c r="K33" s="160"/>
      <c r="L33" s="160"/>
      <c r="M33" s="160"/>
      <c r="N33" s="160"/>
      <c r="O33" s="160"/>
      <c r="P33" s="160"/>
      <c r="Q33" s="160"/>
      <c r="R33" s="160"/>
      <c r="S33" s="160"/>
      <c r="T33" s="160"/>
      <c r="U33" s="160"/>
      <c r="V33" s="161"/>
      <c r="W33" s="163" t="s">
        <v>30</v>
      </c>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3" t="s">
        <v>30</v>
      </c>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3" t="s">
        <v>30</v>
      </c>
      <c r="BP33" s="160"/>
      <c r="BQ33" s="160"/>
      <c r="BR33" s="160"/>
      <c r="BS33" s="160"/>
      <c r="BT33" s="160"/>
      <c r="BU33" s="160"/>
      <c r="BV33" s="160"/>
      <c r="BW33" s="160"/>
      <c r="BX33" s="160"/>
      <c r="BY33" s="160"/>
      <c r="BZ33" s="160"/>
      <c r="CA33" s="160"/>
      <c r="CB33" s="160"/>
      <c r="CC33" s="160"/>
      <c r="CD33" s="160"/>
      <c r="CE33" s="160"/>
      <c r="CF33" s="160"/>
      <c r="CG33" s="160"/>
      <c r="CH33" s="160"/>
      <c r="CI33" s="160"/>
      <c r="CJ33" s="164"/>
      <c r="CK33"/>
      <c r="CL33"/>
      <c r="CM33"/>
      <c r="CN33"/>
      <c r="CO33"/>
    </row>
    <row r="34" spans="1:93" ht="18" customHeight="1">
      <c r="A34" s="165"/>
      <c r="B34" s="160"/>
      <c r="C34" s="188" t="str">
        <f>IF(COUNTIF(E15:I18,DB5)&gt;0,IF(COUNTIF(J15:K18,DB6)=2,"注)特同対象世帯",""),"")</f>
        <v/>
      </c>
      <c r="D34" s="160"/>
      <c r="E34" s="160"/>
      <c r="F34" s="160"/>
      <c r="G34" s="160"/>
      <c r="H34" s="160"/>
      <c r="I34" s="160"/>
      <c r="J34" s="160"/>
      <c r="K34" s="160" t="s">
        <v>12</v>
      </c>
      <c r="L34" s="160"/>
      <c r="M34" s="160"/>
      <c r="N34" s="160"/>
      <c r="O34" s="160"/>
      <c r="P34" s="160"/>
      <c r="Q34" s="455">
        <f>IF(B30+B31=0,0,AL7)</f>
        <v>0</v>
      </c>
      <c r="R34" s="456"/>
      <c r="S34" s="456"/>
      <c r="T34" s="457"/>
      <c r="U34" s="189" t="s">
        <v>1</v>
      </c>
      <c r="V34" s="161"/>
      <c r="W34" s="160"/>
      <c r="X34" s="160"/>
      <c r="Y34" s="160"/>
      <c r="Z34" s="160"/>
      <c r="AA34" s="160"/>
      <c r="AB34" s="160"/>
      <c r="AC34" s="160"/>
      <c r="AD34" s="160"/>
      <c r="AE34" s="160"/>
      <c r="AF34" s="160"/>
      <c r="AG34" s="160" t="s">
        <v>12</v>
      </c>
      <c r="AH34" s="160"/>
      <c r="AI34" s="160"/>
      <c r="AJ34" s="160"/>
      <c r="AK34" s="160"/>
      <c r="AL34" s="160"/>
      <c r="AM34" s="455">
        <f>IF(X30+X31=0,0,AQ7)</f>
        <v>0</v>
      </c>
      <c r="AN34" s="456"/>
      <c r="AO34" s="456"/>
      <c r="AP34" s="457"/>
      <c r="AQ34" s="189" t="s">
        <v>1</v>
      </c>
      <c r="AR34" s="160"/>
      <c r="AS34" s="166"/>
      <c r="AT34" s="160"/>
      <c r="AU34" s="160"/>
      <c r="AV34" s="160"/>
      <c r="AW34" s="160"/>
      <c r="AX34" s="160"/>
      <c r="AY34" s="160"/>
      <c r="AZ34" s="160"/>
      <c r="BA34" s="160"/>
      <c r="BB34" s="160"/>
      <c r="BC34" s="160" t="s">
        <v>12</v>
      </c>
      <c r="BD34" s="160"/>
      <c r="BE34" s="160"/>
      <c r="BF34" s="160"/>
      <c r="BG34" s="160"/>
      <c r="BH34" s="160"/>
      <c r="BI34" s="455">
        <f>IF(AT30=0,0,AV7)</f>
        <v>0</v>
      </c>
      <c r="BJ34" s="456"/>
      <c r="BK34" s="456"/>
      <c r="BL34" s="457"/>
      <c r="BM34" s="189" t="s">
        <v>1</v>
      </c>
      <c r="BN34" s="160"/>
      <c r="BO34" s="166"/>
      <c r="BP34" s="160"/>
      <c r="BQ34" s="160"/>
      <c r="BR34" s="160"/>
      <c r="BS34" s="160"/>
      <c r="BT34" s="160"/>
      <c r="BU34" s="160"/>
      <c r="BV34" s="160"/>
      <c r="BW34" s="160"/>
      <c r="BX34" s="160"/>
      <c r="BY34" s="160" t="s">
        <v>12</v>
      </c>
      <c r="BZ34" s="160"/>
      <c r="CA34" s="160"/>
      <c r="CB34" s="160"/>
      <c r="CC34" s="160"/>
      <c r="CD34" s="160"/>
      <c r="CE34" s="455">
        <f>IF(BP30=0,0,BA7)</f>
        <v>0</v>
      </c>
      <c r="CF34" s="456"/>
      <c r="CG34" s="456"/>
      <c r="CH34" s="457"/>
      <c r="CI34" s="189" t="s">
        <v>1</v>
      </c>
      <c r="CJ34" s="164"/>
      <c r="CK34"/>
      <c r="CL34"/>
      <c r="CM34"/>
      <c r="CN34"/>
      <c r="CO34"/>
    </row>
    <row r="35" spans="1:93" ht="18" customHeight="1">
      <c r="A35" s="190"/>
      <c r="B35" s="160"/>
      <c r="C35" s="160"/>
      <c r="D35" s="160"/>
      <c r="E35" s="160"/>
      <c r="F35" s="160"/>
      <c r="G35" s="160"/>
      <c r="H35" s="160"/>
      <c r="I35" s="160"/>
      <c r="J35" s="160"/>
      <c r="K35" s="160"/>
      <c r="L35" s="458" t="s">
        <v>28</v>
      </c>
      <c r="M35" s="458"/>
      <c r="N35" s="458"/>
      <c r="O35" s="458"/>
      <c r="P35" s="459"/>
      <c r="Q35" s="449">
        <f>IF(AJ17=0,"０",Q34*AJ17/10)</f>
        <v>0</v>
      </c>
      <c r="R35" s="450"/>
      <c r="S35" s="450"/>
      <c r="T35" s="450"/>
      <c r="U35" s="185" t="s">
        <v>1</v>
      </c>
      <c r="V35" s="161"/>
      <c r="W35" s="160"/>
      <c r="X35" s="160"/>
      <c r="Y35" s="160"/>
      <c r="Z35" s="160"/>
      <c r="AA35" s="160"/>
      <c r="AB35" s="160"/>
      <c r="AC35" s="160"/>
      <c r="AD35" s="160"/>
      <c r="AE35" s="160"/>
      <c r="AF35" s="160"/>
      <c r="AG35" s="160"/>
      <c r="AH35" s="458" t="s">
        <v>28</v>
      </c>
      <c r="AI35" s="458"/>
      <c r="AJ35" s="458"/>
      <c r="AK35" s="458"/>
      <c r="AL35" s="459"/>
      <c r="AM35" s="449">
        <f>IF(AJ17=0,"０",AM34*AJ17/10)</f>
        <v>0</v>
      </c>
      <c r="AN35" s="450"/>
      <c r="AO35" s="450"/>
      <c r="AP35" s="450"/>
      <c r="AQ35" s="185" t="s">
        <v>1</v>
      </c>
      <c r="AR35" s="160"/>
      <c r="AS35" s="166"/>
      <c r="AT35" s="160"/>
      <c r="AU35" s="160"/>
      <c r="AV35" s="160"/>
      <c r="AW35" s="160"/>
      <c r="AX35" s="160"/>
      <c r="AY35" s="160"/>
      <c r="AZ35" s="160"/>
      <c r="BA35" s="160"/>
      <c r="BB35" s="160"/>
      <c r="BC35" s="160"/>
      <c r="BD35" s="458" t="s">
        <v>28</v>
      </c>
      <c r="BE35" s="458"/>
      <c r="BF35" s="458"/>
      <c r="BG35" s="458"/>
      <c r="BH35" s="459"/>
      <c r="BI35" s="449">
        <f>IF(AJ17=0,"０",BI34*AJ17/10)</f>
        <v>0</v>
      </c>
      <c r="BJ35" s="450"/>
      <c r="BK35" s="450"/>
      <c r="BL35" s="450"/>
      <c r="BM35" s="185" t="s">
        <v>1</v>
      </c>
      <c r="BN35" s="160"/>
      <c r="BO35" s="166"/>
      <c r="BP35" s="160"/>
      <c r="BQ35" s="160"/>
      <c r="BR35" s="160"/>
      <c r="BS35" s="160"/>
      <c r="BT35" s="160"/>
      <c r="BU35" s="160"/>
      <c r="BV35" s="160"/>
      <c r="BW35" s="160"/>
      <c r="BX35" s="160"/>
      <c r="BY35" s="160"/>
      <c r="BZ35" s="458" t="s">
        <v>28</v>
      </c>
      <c r="CA35" s="458"/>
      <c r="CB35" s="458"/>
      <c r="CC35" s="458"/>
      <c r="CD35" s="459"/>
      <c r="CE35" s="449">
        <f>IF(AJ17=0,"０",CE34*AJ17/10)</f>
        <v>0</v>
      </c>
      <c r="CF35" s="450"/>
      <c r="CG35" s="450"/>
      <c r="CH35" s="450"/>
      <c r="CI35" s="185" t="s">
        <v>1</v>
      </c>
      <c r="CJ35" s="164"/>
      <c r="CK35"/>
      <c r="CL35"/>
      <c r="CM35"/>
      <c r="CN35"/>
      <c r="CO35"/>
    </row>
    <row r="36" spans="1:93" ht="18" customHeight="1" thickBot="1">
      <c r="A36" s="467" t="s">
        <v>33</v>
      </c>
      <c r="B36" s="461"/>
      <c r="C36" s="461"/>
      <c r="D36" s="461"/>
      <c r="E36" s="461"/>
      <c r="F36" s="461"/>
      <c r="G36" s="461"/>
      <c r="H36" s="462"/>
      <c r="I36" s="463">
        <f>Q25+Q30+Q26+Q27+Q31+Q34+Q24-Q32-Q35</f>
        <v>0</v>
      </c>
      <c r="J36" s="464"/>
      <c r="K36" s="464"/>
      <c r="L36" s="464"/>
      <c r="M36" s="464"/>
      <c r="N36" s="191" t="s">
        <v>1</v>
      </c>
      <c r="O36" s="192" t="s">
        <v>25</v>
      </c>
      <c r="P36" s="193"/>
      <c r="Q36" s="468">
        <f>IF(I36&gt;AL9,AL9,ROUNDDOWN(I36,-2))</f>
        <v>0</v>
      </c>
      <c r="R36" s="468"/>
      <c r="S36" s="468"/>
      <c r="T36" s="468"/>
      <c r="U36" s="468"/>
      <c r="V36" s="194" t="s">
        <v>1</v>
      </c>
      <c r="W36" s="460" t="s">
        <v>34</v>
      </c>
      <c r="X36" s="461"/>
      <c r="Y36" s="461"/>
      <c r="Z36" s="461"/>
      <c r="AA36" s="461"/>
      <c r="AB36" s="461"/>
      <c r="AC36" s="461"/>
      <c r="AD36" s="462"/>
      <c r="AE36" s="463">
        <f>AM25+AM30+AM26+AM27+AM31+AM34+AM24-AM32-AM35</f>
        <v>0</v>
      </c>
      <c r="AF36" s="464"/>
      <c r="AG36" s="464"/>
      <c r="AH36" s="464"/>
      <c r="AI36" s="464"/>
      <c r="AJ36" s="191" t="s">
        <v>1</v>
      </c>
      <c r="AK36" s="192" t="s">
        <v>25</v>
      </c>
      <c r="AL36" s="193"/>
      <c r="AM36" s="465">
        <f>IF(AE36&gt;AQ9,AQ9,ROUNDDOWN(AE36,-2))</f>
        <v>0</v>
      </c>
      <c r="AN36" s="466"/>
      <c r="AO36" s="466"/>
      <c r="AP36" s="466"/>
      <c r="AQ36" s="466"/>
      <c r="AR36" s="194" t="s">
        <v>1</v>
      </c>
      <c r="AS36" s="460" t="s">
        <v>35</v>
      </c>
      <c r="AT36" s="461"/>
      <c r="AU36" s="461"/>
      <c r="AV36" s="461"/>
      <c r="AW36" s="461"/>
      <c r="AX36" s="461"/>
      <c r="AY36" s="461"/>
      <c r="AZ36" s="462"/>
      <c r="BA36" s="463">
        <f>BI27+BI26+BI25+BI30+BI34+BI24-BI32-BI35</f>
        <v>0</v>
      </c>
      <c r="BB36" s="464"/>
      <c r="BC36" s="464"/>
      <c r="BD36" s="464"/>
      <c r="BE36" s="464"/>
      <c r="BF36" s="191" t="s">
        <v>1</v>
      </c>
      <c r="BG36" s="192" t="s">
        <v>25</v>
      </c>
      <c r="BH36" s="193"/>
      <c r="BI36" s="465">
        <f>IF(BA36&gt;AV9,AV9,ROUNDDOWN(BA36,-2))</f>
        <v>0</v>
      </c>
      <c r="BJ36" s="466"/>
      <c r="BK36" s="466"/>
      <c r="BL36" s="466"/>
      <c r="BM36" s="466"/>
      <c r="BN36" s="240" t="s">
        <v>1</v>
      </c>
      <c r="BO36" s="460" t="s">
        <v>201</v>
      </c>
      <c r="BP36" s="461"/>
      <c r="BQ36" s="461"/>
      <c r="BR36" s="461"/>
      <c r="BS36" s="461"/>
      <c r="BT36" s="461"/>
      <c r="BU36" s="461"/>
      <c r="BV36" s="462"/>
      <c r="BW36" s="463">
        <f>CE24+CE25+CE26+CE27+CE30+CE31-CE32+CE34-CE35</f>
        <v>0</v>
      </c>
      <c r="BX36" s="464"/>
      <c r="BY36" s="464"/>
      <c r="BZ36" s="464"/>
      <c r="CA36" s="464"/>
      <c r="CB36" s="191" t="s">
        <v>1</v>
      </c>
      <c r="CC36" s="192" t="s">
        <v>25</v>
      </c>
      <c r="CD36" s="193"/>
      <c r="CE36" s="465">
        <f>IF(BW36&gt;BA9,BA9,ROUNDDOWN(BW36,-2))</f>
        <v>0</v>
      </c>
      <c r="CF36" s="466"/>
      <c r="CG36" s="466"/>
      <c r="CH36" s="466"/>
      <c r="CI36" s="466"/>
      <c r="CJ36" s="195" t="s">
        <v>1</v>
      </c>
      <c r="CK36"/>
      <c r="CL36"/>
      <c r="CM36"/>
      <c r="CN36"/>
      <c r="CO36"/>
    </row>
    <row r="37" spans="1:93" s="155" customFormat="1" ht="18" customHeight="1">
      <c r="A37" s="196"/>
      <c r="B37" s="196"/>
      <c r="C37" s="196"/>
      <c r="D37" s="196"/>
      <c r="E37" s="196"/>
      <c r="F37" s="196"/>
      <c r="G37" s="196"/>
      <c r="H37" s="196"/>
      <c r="I37" s="197"/>
      <c r="J37" s="198"/>
      <c r="K37" s="198"/>
      <c r="L37" s="198"/>
      <c r="M37" s="198"/>
      <c r="N37" s="199"/>
      <c r="O37" s="200"/>
      <c r="P37" s="201"/>
      <c r="Q37" s="202"/>
      <c r="R37" s="202"/>
      <c r="S37" s="202"/>
      <c r="T37" s="202"/>
      <c r="U37" s="202"/>
      <c r="V37" s="203"/>
      <c r="W37" s="196"/>
      <c r="X37" s="196"/>
      <c r="Y37" s="196"/>
      <c r="Z37" s="196"/>
      <c r="AA37" s="196"/>
      <c r="AB37" s="196"/>
      <c r="AC37" s="196"/>
      <c r="AD37" s="196"/>
      <c r="AE37" s="197"/>
      <c r="AF37" s="198"/>
      <c r="AG37" s="198"/>
      <c r="AH37" s="198"/>
      <c r="AI37" s="198"/>
      <c r="AJ37" s="199"/>
      <c r="AK37" s="200"/>
      <c r="AL37" s="201"/>
      <c r="AM37" s="204"/>
      <c r="AN37" s="205"/>
      <c r="AO37" s="205"/>
      <c r="AP37" s="205"/>
      <c r="AQ37" s="205"/>
      <c r="AR37" s="203"/>
      <c r="AS37" s="196"/>
      <c r="AT37" s="196"/>
      <c r="AU37" s="196"/>
      <c r="AV37" s="196"/>
      <c r="AW37" s="196"/>
      <c r="AX37" s="196"/>
      <c r="AY37" s="196"/>
      <c r="AZ37" s="196"/>
      <c r="BA37" s="197"/>
      <c r="BB37" s="198"/>
      <c r="BC37" s="198"/>
      <c r="BD37" s="198"/>
      <c r="BE37" s="198"/>
      <c r="BF37" s="199"/>
      <c r="BG37" s="200"/>
      <c r="BH37" s="201"/>
      <c r="BI37" s="204"/>
      <c r="BJ37" s="205"/>
      <c r="BK37" s="205"/>
      <c r="BL37" s="205"/>
      <c r="BM37" s="205"/>
      <c r="BN37" s="203"/>
      <c r="BO37" s="196"/>
      <c r="BP37" s="196"/>
      <c r="BQ37" s="196"/>
      <c r="BR37" s="196"/>
      <c r="BS37" s="196"/>
      <c r="BT37" s="196"/>
      <c r="BU37" s="196"/>
      <c r="BV37" s="196"/>
      <c r="BW37" s="197"/>
      <c r="BX37" s="198"/>
      <c r="BY37" s="198"/>
      <c r="BZ37" s="198"/>
      <c r="CA37" s="198"/>
      <c r="CB37" s="199"/>
      <c r="CC37" s="200"/>
      <c r="CD37" s="201"/>
      <c r="CE37" s="204"/>
      <c r="CF37" s="205"/>
      <c r="CG37" s="205"/>
      <c r="CH37" s="205"/>
      <c r="CI37" s="205"/>
      <c r="CJ37" s="203"/>
      <c r="CK37"/>
      <c r="CL37"/>
      <c r="CM37"/>
      <c r="CN37"/>
      <c r="CO37"/>
    </row>
    <row r="38" spans="1:93" ht="21" customHeight="1" thickBot="1"/>
    <row r="39" spans="1:93" ht="21" customHeight="1" thickTop="1" thickBot="1">
      <c r="AZ39" s="469" t="str">
        <f>国民健康保険税試算シート!B3</f>
        <v>令和8年度</v>
      </c>
      <c r="BA39" s="470"/>
      <c r="BB39" s="470"/>
      <c r="BC39" s="470"/>
      <c r="BD39" s="470"/>
      <c r="BE39" s="470"/>
      <c r="BF39" s="470"/>
      <c r="BG39" s="470"/>
      <c r="BH39" s="470"/>
      <c r="BI39" s="470"/>
      <c r="BJ39" s="470"/>
      <c r="BK39" s="471"/>
    </row>
    <row r="40" spans="1:93" ht="21" customHeight="1">
      <c r="B40" s="472"/>
      <c r="C40" s="473"/>
      <c r="D40" s="473"/>
      <c r="E40" s="473"/>
      <c r="F40" s="473"/>
      <c r="G40" s="473" t="s">
        <v>51</v>
      </c>
      <c r="H40" s="473"/>
      <c r="I40" s="473"/>
      <c r="J40" s="473"/>
      <c r="K40" s="473"/>
      <c r="L40" s="473"/>
      <c r="M40" s="473"/>
      <c r="N40" s="473"/>
      <c r="O40" s="473"/>
      <c r="P40" s="473"/>
      <c r="Q40" s="473"/>
      <c r="R40" s="473"/>
      <c r="S40" s="473"/>
      <c r="T40" s="473"/>
      <c r="U40" s="473"/>
      <c r="V40" s="473"/>
      <c r="W40" s="473"/>
      <c r="X40" s="473"/>
      <c r="Y40" s="473"/>
      <c r="Z40" s="473"/>
      <c r="AA40" s="473"/>
      <c r="AB40" s="473"/>
      <c r="AC40" s="473"/>
      <c r="AD40" s="473"/>
      <c r="AE40" s="473"/>
      <c r="AF40" s="473"/>
      <c r="AG40" s="473"/>
      <c r="AH40" s="473"/>
      <c r="AI40" s="473"/>
      <c r="AJ40" s="473"/>
      <c r="AK40" s="473"/>
      <c r="AL40" s="473"/>
      <c r="AM40" s="473"/>
      <c r="AN40" s="473"/>
      <c r="AO40" s="473"/>
      <c r="AP40" s="473"/>
      <c r="AQ40" s="473"/>
      <c r="AR40" s="473"/>
      <c r="AS40" s="473"/>
      <c r="AT40" s="473"/>
      <c r="AU40" s="473"/>
      <c r="AV40" s="474"/>
      <c r="AZ40" s="475" t="s">
        <v>53</v>
      </c>
      <c r="BA40" s="476"/>
      <c r="BB40" s="476"/>
      <c r="BC40" s="476"/>
      <c r="BD40" s="476"/>
      <c r="BE40" s="477"/>
      <c r="BF40" s="481">
        <f>AV10</f>
        <v>310000</v>
      </c>
      <c r="BG40" s="481"/>
      <c r="BH40" s="481"/>
      <c r="BI40" s="481"/>
      <c r="BJ40" s="483" t="s">
        <v>1</v>
      </c>
      <c r="BK40" s="484"/>
    </row>
    <row r="41" spans="1:93" ht="21" customHeight="1">
      <c r="B41" s="487" t="s">
        <v>106</v>
      </c>
      <c r="C41" s="488"/>
      <c r="D41" s="488"/>
      <c r="E41" s="488"/>
      <c r="F41" s="488"/>
      <c r="G41" s="489">
        <v>0</v>
      </c>
      <c r="H41" s="489"/>
      <c r="I41" s="489"/>
      <c r="J41" s="489"/>
      <c r="K41" s="489"/>
      <c r="L41" s="489"/>
      <c r="M41" s="489"/>
      <c r="N41" s="489">
        <v>1</v>
      </c>
      <c r="O41" s="489"/>
      <c r="P41" s="489"/>
      <c r="Q41" s="489"/>
      <c r="R41" s="489"/>
      <c r="S41" s="489"/>
      <c r="T41" s="489"/>
      <c r="U41" s="489">
        <v>2</v>
      </c>
      <c r="V41" s="489"/>
      <c r="W41" s="489"/>
      <c r="X41" s="489"/>
      <c r="Y41" s="489"/>
      <c r="Z41" s="489"/>
      <c r="AA41" s="489"/>
      <c r="AB41" s="489">
        <v>3</v>
      </c>
      <c r="AC41" s="489"/>
      <c r="AD41" s="489"/>
      <c r="AE41" s="489"/>
      <c r="AF41" s="489"/>
      <c r="AG41" s="489"/>
      <c r="AH41" s="489"/>
      <c r="AI41" s="489">
        <v>4</v>
      </c>
      <c r="AJ41" s="489"/>
      <c r="AK41" s="489"/>
      <c r="AL41" s="489"/>
      <c r="AM41" s="489"/>
      <c r="AN41" s="489"/>
      <c r="AO41" s="489"/>
      <c r="AP41" s="489">
        <v>5</v>
      </c>
      <c r="AQ41" s="489"/>
      <c r="AR41" s="489"/>
      <c r="AS41" s="489"/>
      <c r="AT41" s="489"/>
      <c r="AU41" s="489"/>
      <c r="AV41" s="509"/>
      <c r="AZ41" s="478"/>
      <c r="BA41" s="479"/>
      <c r="BB41" s="479"/>
      <c r="BC41" s="479"/>
      <c r="BD41" s="479"/>
      <c r="BE41" s="480"/>
      <c r="BF41" s="482"/>
      <c r="BG41" s="482"/>
      <c r="BH41" s="482"/>
      <c r="BI41" s="482"/>
      <c r="BJ41" s="485"/>
      <c r="BK41" s="486"/>
    </row>
    <row r="42" spans="1:93" ht="21" customHeight="1" thickBot="1">
      <c r="B42" s="511" t="s">
        <v>107</v>
      </c>
      <c r="C42" s="298"/>
      <c r="D42" s="298"/>
      <c r="E42" s="298"/>
      <c r="F42" s="298"/>
      <c r="G42" s="490"/>
      <c r="H42" s="490"/>
      <c r="I42" s="490"/>
      <c r="J42" s="490"/>
      <c r="K42" s="490"/>
      <c r="L42" s="490"/>
      <c r="M42" s="490"/>
      <c r="N42" s="490"/>
      <c r="O42" s="490"/>
      <c r="P42" s="490"/>
      <c r="Q42" s="490"/>
      <c r="R42" s="490"/>
      <c r="S42" s="490"/>
      <c r="T42" s="490"/>
      <c r="U42" s="490"/>
      <c r="V42" s="490"/>
      <c r="W42" s="490"/>
      <c r="X42" s="490"/>
      <c r="Y42" s="490"/>
      <c r="Z42" s="490"/>
      <c r="AA42" s="490"/>
      <c r="AB42" s="490"/>
      <c r="AC42" s="490"/>
      <c r="AD42" s="490"/>
      <c r="AE42" s="490"/>
      <c r="AF42" s="490"/>
      <c r="AG42" s="490"/>
      <c r="AH42" s="490"/>
      <c r="AI42" s="490"/>
      <c r="AJ42" s="490"/>
      <c r="AK42" s="490"/>
      <c r="AL42" s="490"/>
      <c r="AM42" s="490"/>
      <c r="AN42" s="490"/>
      <c r="AO42" s="490"/>
      <c r="AP42" s="490"/>
      <c r="AQ42" s="490"/>
      <c r="AR42" s="490"/>
      <c r="AS42" s="490"/>
      <c r="AT42" s="490"/>
      <c r="AU42" s="490"/>
      <c r="AV42" s="510"/>
      <c r="AZ42" s="512" t="s">
        <v>52</v>
      </c>
      <c r="BA42" s="513"/>
      <c r="BB42" s="513"/>
      <c r="BC42" s="513"/>
      <c r="BD42" s="513"/>
      <c r="BE42" s="514"/>
      <c r="BF42" s="518">
        <f>AO10</f>
        <v>570000</v>
      </c>
      <c r="BG42" s="518"/>
      <c r="BH42" s="518"/>
      <c r="BI42" s="518"/>
      <c r="BJ42" s="495" t="s">
        <v>1</v>
      </c>
      <c r="BK42" s="496"/>
    </row>
    <row r="43" spans="1:93" ht="21" customHeight="1" thickBot="1">
      <c r="B43" s="499" t="s">
        <v>50</v>
      </c>
      <c r="C43" s="500"/>
      <c r="D43" s="489">
        <v>1</v>
      </c>
      <c r="E43" s="489"/>
      <c r="F43" s="491"/>
      <c r="G43" s="503">
        <f>職員設定用!$B$19+($BF$40*D43)</f>
        <v>740000</v>
      </c>
      <c r="H43" s="504"/>
      <c r="I43" s="504"/>
      <c r="J43" s="504"/>
      <c r="K43" s="504"/>
      <c r="L43" s="504"/>
      <c r="M43" s="504"/>
      <c r="N43" s="505">
        <f>職員設定用!$B$19+(D43*$BF$40)+($N$41-1)*100000</f>
        <v>740000</v>
      </c>
      <c r="O43" s="505"/>
      <c r="P43" s="505"/>
      <c r="Q43" s="505"/>
      <c r="R43" s="505"/>
      <c r="S43" s="505"/>
      <c r="T43" s="505"/>
      <c r="U43" s="504">
        <f>職員設定用!$B$19+($BF$40*D43)+($U$41-1)*100000</f>
        <v>840000</v>
      </c>
      <c r="V43" s="504"/>
      <c r="W43" s="504"/>
      <c r="X43" s="504"/>
      <c r="Y43" s="504"/>
      <c r="Z43" s="504"/>
      <c r="AA43" s="504"/>
      <c r="AB43" s="504">
        <f>職員設定用!$B$19+($BF$40*D43)+($AB$41-1)*100000</f>
        <v>940000</v>
      </c>
      <c r="AC43" s="504"/>
      <c r="AD43" s="504"/>
      <c r="AE43" s="504"/>
      <c r="AF43" s="504"/>
      <c r="AG43" s="504"/>
      <c r="AH43" s="504"/>
      <c r="AI43" s="504">
        <f>職員設定用!$B$19+(D43*$BF$40)+($AI$41-1)*100000</f>
        <v>1040000</v>
      </c>
      <c r="AJ43" s="504"/>
      <c r="AK43" s="504"/>
      <c r="AL43" s="504"/>
      <c r="AM43" s="504"/>
      <c r="AN43" s="504"/>
      <c r="AO43" s="504"/>
      <c r="AP43" s="504">
        <f>職員設定用!$B$19+(D43*$BF$40)+($AP$41-1)*100000</f>
        <v>1140000</v>
      </c>
      <c r="AQ43" s="504"/>
      <c r="AR43" s="504"/>
      <c r="AS43" s="504"/>
      <c r="AT43" s="504"/>
      <c r="AU43" s="504"/>
      <c r="AV43" s="506"/>
      <c r="AZ43" s="515"/>
      <c r="BA43" s="516"/>
      <c r="BB43" s="516"/>
      <c r="BC43" s="516"/>
      <c r="BD43" s="516"/>
      <c r="BE43" s="517"/>
      <c r="BF43" s="519"/>
      <c r="BG43" s="519"/>
      <c r="BH43" s="519"/>
      <c r="BI43" s="519"/>
      <c r="BJ43" s="497"/>
      <c r="BK43" s="498"/>
    </row>
    <row r="44" spans="1:93" ht="21" customHeight="1" thickTop="1">
      <c r="B44" s="499"/>
      <c r="C44" s="500"/>
      <c r="D44" s="489"/>
      <c r="E44" s="489"/>
      <c r="F44" s="491"/>
      <c r="G44" s="507">
        <f>職員設定用!$B$19+($BF$42*D43)</f>
        <v>1000000</v>
      </c>
      <c r="H44" s="508"/>
      <c r="I44" s="508"/>
      <c r="J44" s="508"/>
      <c r="K44" s="508"/>
      <c r="L44" s="508"/>
      <c r="M44" s="508"/>
      <c r="N44" s="521">
        <f>職員設定用!$B$19+(D43*$BF$42)+($N$41-1)*100000</f>
        <v>1000000</v>
      </c>
      <c r="O44" s="521"/>
      <c r="P44" s="521"/>
      <c r="Q44" s="521"/>
      <c r="R44" s="521"/>
      <c r="S44" s="521"/>
      <c r="T44" s="521"/>
      <c r="U44" s="508">
        <f>職員設定用!$B$19+(D43*$BF$42)+($U$41-1)*100000</f>
        <v>1100000</v>
      </c>
      <c r="V44" s="508"/>
      <c r="W44" s="508"/>
      <c r="X44" s="508"/>
      <c r="Y44" s="508"/>
      <c r="Z44" s="508"/>
      <c r="AA44" s="508"/>
      <c r="AB44" s="508">
        <f>職員設定用!$B$19+(D43*$BF$42)+($AB$41-1)*100000</f>
        <v>1200000</v>
      </c>
      <c r="AC44" s="508"/>
      <c r="AD44" s="508"/>
      <c r="AE44" s="508"/>
      <c r="AF44" s="508"/>
      <c r="AG44" s="508"/>
      <c r="AH44" s="508"/>
      <c r="AI44" s="508">
        <f>職員設定用!$B$19+(D43*$BF$42)+($AI$41-1)*100000</f>
        <v>1300000</v>
      </c>
      <c r="AJ44" s="508"/>
      <c r="AK44" s="508"/>
      <c r="AL44" s="508"/>
      <c r="AM44" s="508"/>
      <c r="AN44" s="508"/>
      <c r="AO44" s="508"/>
      <c r="AP44" s="508">
        <f>職員設定用!$B$19+(D43*$BF$42)+($AP$41-1)*100000</f>
        <v>1400000</v>
      </c>
      <c r="AQ44" s="508"/>
      <c r="AR44" s="508"/>
      <c r="AS44" s="508"/>
      <c r="AT44" s="508"/>
      <c r="AU44" s="508"/>
      <c r="AV44" s="522"/>
    </row>
    <row r="45" spans="1:93" ht="21" customHeight="1">
      <c r="B45" s="499"/>
      <c r="C45" s="500"/>
      <c r="D45" s="489">
        <v>2</v>
      </c>
      <c r="E45" s="489"/>
      <c r="F45" s="491"/>
      <c r="G45" s="492">
        <f>職員設定用!$B$19+($BF$40*D45)</f>
        <v>1050000</v>
      </c>
      <c r="H45" s="493"/>
      <c r="I45" s="493"/>
      <c r="J45" s="493"/>
      <c r="K45" s="493"/>
      <c r="L45" s="493"/>
      <c r="M45" s="493"/>
      <c r="N45" s="493">
        <f>職員設定用!$B$19+(D45*$BF$40)+($N$41-1)*100000</f>
        <v>1050000</v>
      </c>
      <c r="O45" s="493"/>
      <c r="P45" s="493"/>
      <c r="Q45" s="493"/>
      <c r="R45" s="493"/>
      <c r="S45" s="493"/>
      <c r="T45" s="493"/>
      <c r="U45" s="494">
        <f>職員設定用!$B$19+($BF$40*D45)+($U$41-1)*100000</f>
        <v>1150000</v>
      </c>
      <c r="V45" s="494"/>
      <c r="W45" s="494"/>
      <c r="X45" s="494"/>
      <c r="Y45" s="494"/>
      <c r="Z45" s="494"/>
      <c r="AA45" s="494"/>
      <c r="AB45" s="493">
        <f>職員設定用!$B$19+($BF$40*D45)+($AB$41-1)*100000</f>
        <v>1250000</v>
      </c>
      <c r="AC45" s="493"/>
      <c r="AD45" s="493"/>
      <c r="AE45" s="493"/>
      <c r="AF45" s="493"/>
      <c r="AG45" s="493"/>
      <c r="AH45" s="493"/>
      <c r="AI45" s="493">
        <f>職員設定用!$B$19+(D45*$BF$40)+($AI$41-1)*100000</f>
        <v>1350000</v>
      </c>
      <c r="AJ45" s="493"/>
      <c r="AK45" s="493"/>
      <c r="AL45" s="493"/>
      <c r="AM45" s="493"/>
      <c r="AN45" s="493"/>
      <c r="AO45" s="493"/>
      <c r="AP45" s="493">
        <f>職員設定用!$B$19+(D45*$BF$40)+($AP$41-1)*100000</f>
        <v>1450000</v>
      </c>
      <c r="AQ45" s="493"/>
      <c r="AR45" s="493"/>
      <c r="AS45" s="493"/>
      <c r="AT45" s="493"/>
      <c r="AU45" s="493"/>
      <c r="AV45" s="520"/>
    </row>
    <row r="46" spans="1:93" ht="21" customHeight="1">
      <c r="B46" s="499"/>
      <c r="C46" s="500"/>
      <c r="D46" s="489"/>
      <c r="E46" s="489"/>
      <c r="F46" s="491"/>
      <c r="G46" s="507">
        <f>職員設定用!$B$19+($BF$42*D45)</f>
        <v>1570000</v>
      </c>
      <c r="H46" s="508"/>
      <c r="I46" s="508"/>
      <c r="J46" s="508"/>
      <c r="K46" s="508"/>
      <c r="L46" s="508"/>
      <c r="M46" s="508"/>
      <c r="N46" s="508">
        <f>職員設定用!$B$19+(D45*$BF$42)+($N$41-1)*100000</f>
        <v>1570000</v>
      </c>
      <c r="O46" s="508"/>
      <c r="P46" s="508"/>
      <c r="Q46" s="508"/>
      <c r="R46" s="508"/>
      <c r="S46" s="508"/>
      <c r="T46" s="508"/>
      <c r="U46" s="521">
        <f>職員設定用!$B$19+(D45*$BF$42)+($U$41-1)*100000</f>
        <v>1670000</v>
      </c>
      <c r="V46" s="521"/>
      <c r="W46" s="521"/>
      <c r="X46" s="521"/>
      <c r="Y46" s="521"/>
      <c r="Z46" s="521"/>
      <c r="AA46" s="521"/>
      <c r="AB46" s="508">
        <f>職員設定用!$B$19+(D45*$BF$42)+($AB$41-1)*100000</f>
        <v>1770000</v>
      </c>
      <c r="AC46" s="508"/>
      <c r="AD46" s="508"/>
      <c r="AE46" s="508"/>
      <c r="AF46" s="508"/>
      <c r="AG46" s="508"/>
      <c r="AH46" s="508"/>
      <c r="AI46" s="508">
        <f>職員設定用!$B$19+(D45*$BF$42)+($AI$41-1)*100000</f>
        <v>1870000</v>
      </c>
      <c r="AJ46" s="508"/>
      <c r="AK46" s="508"/>
      <c r="AL46" s="508"/>
      <c r="AM46" s="508"/>
      <c r="AN46" s="508"/>
      <c r="AO46" s="508"/>
      <c r="AP46" s="508">
        <f>職員設定用!$B$19+(D45*$BF$42)+($AP$41-1)*100000</f>
        <v>1970000</v>
      </c>
      <c r="AQ46" s="508"/>
      <c r="AR46" s="508"/>
      <c r="AS46" s="508"/>
      <c r="AT46" s="508"/>
      <c r="AU46" s="508"/>
      <c r="AV46" s="522"/>
    </row>
    <row r="47" spans="1:93" ht="21" customHeight="1">
      <c r="B47" s="499"/>
      <c r="C47" s="500"/>
      <c r="D47" s="489">
        <v>3</v>
      </c>
      <c r="E47" s="489"/>
      <c r="F47" s="491"/>
      <c r="G47" s="492">
        <f>職員設定用!$B$19+($BF$40*D47)</f>
        <v>1360000</v>
      </c>
      <c r="H47" s="493"/>
      <c r="I47" s="493"/>
      <c r="J47" s="493"/>
      <c r="K47" s="493"/>
      <c r="L47" s="493"/>
      <c r="M47" s="493"/>
      <c r="N47" s="493">
        <f>職員設定用!$B$19+(D47*$BF$40)+($N$41-1)*100000</f>
        <v>1360000</v>
      </c>
      <c r="O47" s="493"/>
      <c r="P47" s="493"/>
      <c r="Q47" s="493"/>
      <c r="R47" s="493"/>
      <c r="S47" s="493"/>
      <c r="T47" s="493"/>
      <c r="U47" s="493">
        <f>職員設定用!$B$19+($BF$40*D47)+($U$41-1)*100000</f>
        <v>1460000</v>
      </c>
      <c r="V47" s="493"/>
      <c r="W47" s="493"/>
      <c r="X47" s="493"/>
      <c r="Y47" s="493"/>
      <c r="Z47" s="493"/>
      <c r="AA47" s="493"/>
      <c r="AB47" s="494">
        <f>職員設定用!$B$19+($BF$40*D47)+($AB$41-1)*100000</f>
        <v>1560000</v>
      </c>
      <c r="AC47" s="494"/>
      <c r="AD47" s="494"/>
      <c r="AE47" s="494"/>
      <c r="AF47" s="494"/>
      <c r="AG47" s="494"/>
      <c r="AH47" s="494"/>
      <c r="AI47" s="493">
        <f>職員設定用!$B$19+(D47*$BF$40)+($AI$41-1)*100000</f>
        <v>1660000</v>
      </c>
      <c r="AJ47" s="493"/>
      <c r="AK47" s="493"/>
      <c r="AL47" s="493"/>
      <c r="AM47" s="493"/>
      <c r="AN47" s="493"/>
      <c r="AO47" s="493"/>
      <c r="AP47" s="493">
        <f>職員設定用!$B$19+(D47*$BF$40)+($AP$41-1)*100000</f>
        <v>1760000</v>
      </c>
      <c r="AQ47" s="493"/>
      <c r="AR47" s="493"/>
      <c r="AS47" s="493"/>
      <c r="AT47" s="493"/>
      <c r="AU47" s="493"/>
      <c r="AV47" s="520"/>
    </row>
    <row r="48" spans="1:93" ht="21" customHeight="1">
      <c r="B48" s="499"/>
      <c r="C48" s="500"/>
      <c r="D48" s="489"/>
      <c r="E48" s="489"/>
      <c r="F48" s="491"/>
      <c r="G48" s="507">
        <f>職員設定用!$B$19+($BF$42*D47)</f>
        <v>2140000</v>
      </c>
      <c r="H48" s="508"/>
      <c r="I48" s="508"/>
      <c r="J48" s="508"/>
      <c r="K48" s="508"/>
      <c r="L48" s="508"/>
      <c r="M48" s="508"/>
      <c r="N48" s="508">
        <f>職員設定用!$B$19+(D47*$BF$42)+($N$41-1)*100000</f>
        <v>2140000</v>
      </c>
      <c r="O48" s="508"/>
      <c r="P48" s="508"/>
      <c r="Q48" s="508"/>
      <c r="R48" s="508"/>
      <c r="S48" s="508"/>
      <c r="T48" s="508"/>
      <c r="U48" s="508">
        <f>職員設定用!$B$19+(D47*$BF$42)+($U$41-1)*100000</f>
        <v>2240000</v>
      </c>
      <c r="V48" s="508"/>
      <c r="W48" s="508"/>
      <c r="X48" s="508"/>
      <c r="Y48" s="508"/>
      <c r="Z48" s="508"/>
      <c r="AA48" s="508"/>
      <c r="AB48" s="521">
        <f>職員設定用!$B$19+(D47*$BF$42)+($AB$41-1)*100000</f>
        <v>2340000</v>
      </c>
      <c r="AC48" s="521"/>
      <c r="AD48" s="521"/>
      <c r="AE48" s="521"/>
      <c r="AF48" s="521"/>
      <c r="AG48" s="521"/>
      <c r="AH48" s="521"/>
      <c r="AI48" s="508">
        <f>職員設定用!$B$19+(D47*$BF$42)+($AI$41-1)*100000</f>
        <v>2440000</v>
      </c>
      <c r="AJ48" s="508"/>
      <c r="AK48" s="508"/>
      <c r="AL48" s="508"/>
      <c r="AM48" s="508"/>
      <c r="AN48" s="508"/>
      <c r="AO48" s="508"/>
      <c r="AP48" s="508">
        <f>職員設定用!$B$19+(D47*$BF$42)+($AP$41-1)*100000</f>
        <v>2540000</v>
      </c>
      <c r="AQ48" s="508"/>
      <c r="AR48" s="508"/>
      <c r="AS48" s="508"/>
      <c r="AT48" s="508"/>
      <c r="AU48" s="508"/>
      <c r="AV48" s="522"/>
    </row>
    <row r="49" spans="2:48" ht="21" customHeight="1">
      <c r="B49" s="499"/>
      <c r="C49" s="500"/>
      <c r="D49" s="489">
        <v>4</v>
      </c>
      <c r="E49" s="489"/>
      <c r="F49" s="491"/>
      <c r="G49" s="492">
        <f>職員設定用!$B$19+($BF$40*D49)</f>
        <v>1670000</v>
      </c>
      <c r="H49" s="493"/>
      <c r="I49" s="493"/>
      <c r="J49" s="493"/>
      <c r="K49" s="493"/>
      <c r="L49" s="493"/>
      <c r="M49" s="493"/>
      <c r="N49" s="493">
        <f>職員設定用!$B$19+(D49*$BF$40)+($N$41-1)*100000</f>
        <v>1670000</v>
      </c>
      <c r="O49" s="493"/>
      <c r="P49" s="493"/>
      <c r="Q49" s="493"/>
      <c r="R49" s="493"/>
      <c r="S49" s="493"/>
      <c r="T49" s="493"/>
      <c r="U49" s="493">
        <f>職員設定用!$B$19+($BF$40*D49)+($U$41-1)*100000</f>
        <v>1770000</v>
      </c>
      <c r="V49" s="493"/>
      <c r="W49" s="493"/>
      <c r="X49" s="493"/>
      <c r="Y49" s="493"/>
      <c r="Z49" s="493"/>
      <c r="AA49" s="493"/>
      <c r="AB49" s="493">
        <f>職員設定用!$B$19+($BF$40*D49)+($AB$41-1)*100000</f>
        <v>1870000</v>
      </c>
      <c r="AC49" s="493"/>
      <c r="AD49" s="493"/>
      <c r="AE49" s="493"/>
      <c r="AF49" s="493"/>
      <c r="AG49" s="493"/>
      <c r="AH49" s="493"/>
      <c r="AI49" s="494">
        <f>職員設定用!$B$19+(D49*$BF$40)+($AI$41-1)*100000</f>
        <v>1970000</v>
      </c>
      <c r="AJ49" s="494"/>
      <c r="AK49" s="494"/>
      <c r="AL49" s="494"/>
      <c r="AM49" s="494"/>
      <c r="AN49" s="494"/>
      <c r="AO49" s="494"/>
      <c r="AP49" s="493">
        <f>職員設定用!$B$19+(D49*$BF$40)+($AP$41-1)*100000</f>
        <v>2070000</v>
      </c>
      <c r="AQ49" s="493"/>
      <c r="AR49" s="493"/>
      <c r="AS49" s="493"/>
      <c r="AT49" s="493"/>
      <c r="AU49" s="493"/>
      <c r="AV49" s="520"/>
    </row>
    <row r="50" spans="2:48" ht="21" customHeight="1">
      <c r="B50" s="499"/>
      <c r="C50" s="500"/>
      <c r="D50" s="489"/>
      <c r="E50" s="489"/>
      <c r="F50" s="491"/>
      <c r="G50" s="507">
        <f>職員設定用!$B$19+($BF$42*D49)</f>
        <v>2710000</v>
      </c>
      <c r="H50" s="508"/>
      <c r="I50" s="508"/>
      <c r="J50" s="508"/>
      <c r="K50" s="508"/>
      <c r="L50" s="508"/>
      <c r="M50" s="508"/>
      <c r="N50" s="508">
        <f>職員設定用!$B$19+(D49*$BF$42)+($N$41-1)*100000</f>
        <v>2710000</v>
      </c>
      <c r="O50" s="508"/>
      <c r="P50" s="508"/>
      <c r="Q50" s="508"/>
      <c r="R50" s="508"/>
      <c r="S50" s="508"/>
      <c r="T50" s="508"/>
      <c r="U50" s="508">
        <f>職員設定用!$B$19+(D49*$BF$42)+($U$41-1)*100000</f>
        <v>2810000</v>
      </c>
      <c r="V50" s="508"/>
      <c r="W50" s="508"/>
      <c r="X50" s="508"/>
      <c r="Y50" s="508"/>
      <c r="Z50" s="508"/>
      <c r="AA50" s="508"/>
      <c r="AB50" s="508">
        <f>職員設定用!$B$19+(D49*$BF$42)+($AB$41-1)*100000</f>
        <v>2910000</v>
      </c>
      <c r="AC50" s="508"/>
      <c r="AD50" s="508"/>
      <c r="AE50" s="508"/>
      <c r="AF50" s="508"/>
      <c r="AG50" s="508"/>
      <c r="AH50" s="508"/>
      <c r="AI50" s="521">
        <f>職員設定用!$B$19+(D49*$BF$42)+($AI$41-1)*100000</f>
        <v>3010000</v>
      </c>
      <c r="AJ50" s="521"/>
      <c r="AK50" s="521"/>
      <c r="AL50" s="521"/>
      <c r="AM50" s="521"/>
      <c r="AN50" s="521"/>
      <c r="AO50" s="521"/>
      <c r="AP50" s="508">
        <f>職員設定用!$B$19+(D49*$BF$42)+($AP$41-1)*100000</f>
        <v>3110000</v>
      </c>
      <c r="AQ50" s="508"/>
      <c r="AR50" s="508"/>
      <c r="AS50" s="508"/>
      <c r="AT50" s="508"/>
      <c r="AU50" s="508"/>
      <c r="AV50" s="522"/>
    </row>
    <row r="51" spans="2:48" ht="21" customHeight="1">
      <c r="B51" s="499"/>
      <c r="C51" s="500"/>
      <c r="D51" s="489">
        <v>5</v>
      </c>
      <c r="E51" s="489"/>
      <c r="F51" s="491"/>
      <c r="G51" s="492">
        <f>職員設定用!$B$19+($BF$40*D51)</f>
        <v>1980000</v>
      </c>
      <c r="H51" s="493"/>
      <c r="I51" s="493"/>
      <c r="J51" s="493"/>
      <c r="K51" s="493"/>
      <c r="L51" s="493"/>
      <c r="M51" s="493"/>
      <c r="N51" s="493">
        <f>職員設定用!$B$19+(D51*$BF$40)+($N$41-1)*100000</f>
        <v>1980000</v>
      </c>
      <c r="O51" s="493"/>
      <c r="P51" s="493"/>
      <c r="Q51" s="493"/>
      <c r="R51" s="493"/>
      <c r="S51" s="493"/>
      <c r="T51" s="493"/>
      <c r="U51" s="493">
        <f>職員設定用!$B$19+($BF$40*D51)+($U$41-1)*100000</f>
        <v>2080000</v>
      </c>
      <c r="V51" s="493"/>
      <c r="W51" s="493"/>
      <c r="X51" s="493"/>
      <c r="Y51" s="493"/>
      <c r="Z51" s="493"/>
      <c r="AA51" s="493"/>
      <c r="AB51" s="493">
        <f>職員設定用!$B$19+($BF$40*D51)+($AB$41-1)*100000</f>
        <v>2180000</v>
      </c>
      <c r="AC51" s="493"/>
      <c r="AD51" s="493"/>
      <c r="AE51" s="493"/>
      <c r="AF51" s="493"/>
      <c r="AG51" s="493"/>
      <c r="AH51" s="493"/>
      <c r="AI51" s="493">
        <f>職員設定用!$B$19+(D51*$BF$40)+($AI$41-1)*100000</f>
        <v>2280000</v>
      </c>
      <c r="AJ51" s="493"/>
      <c r="AK51" s="493"/>
      <c r="AL51" s="493"/>
      <c r="AM51" s="493"/>
      <c r="AN51" s="493"/>
      <c r="AO51" s="493"/>
      <c r="AP51" s="494">
        <f>職員設定用!$B$19+(D51*$BF$40)+($AP$41-1)*100000</f>
        <v>2380000</v>
      </c>
      <c r="AQ51" s="494"/>
      <c r="AR51" s="494"/>
      <c r="AS51" s="494"/>
      <c r="AT51" s="494"/>
      <c r="AU51" s="494"/>
      <c r="AV51" s="528"/>
    </row>
    <row r="52" spans="2:48" ht="21" customHeight="1">
      <c r="B52" s="499"/>
      <c r="C52" s="500"/>
      <c r="D52" s="489"/>
      <c r="E52" s="489"/>
      <c r="F52" s="491"/>
      <c r="G52" s="507">
        <f>職員設定用!$B$19+($BF$42*D51)</f>
        <v>3280000</v>
      </c>
      <c r="H52" s="508"/>
      <c r="I52" s="508"/>
      <c r="J52" s="508"/>
      <c r="K52" s="508"/>
      <c r="L52" s="508"/>
      <c r="M52" s="508"/>
      <c r="N52" s="508">
        <f>職員設定用!$B$19+(D51*$BF$42)+($N$41-1)*100000</f>
        <v>3280000</v>
      </c>
      <c r="O52" s="508"/>
      <c r="P52" s="508"/>
      <c r="Q52" s="508"/>
      <c r="R52" s="508"/>
      <c r="S52" s="508"/>
      <c r="T52" s="508"/>
      <c r="U52" s="508">
        <f>職員設定用!$B$19+(D51*$BF$42)+($U$41-1)*100000</f>
        <v>3380000</v>
      </c>
      <c r="V52" s="508"/>
      <c r="W52" s="508"/>
      <c r="X52" s="508"/>
      <c r="Y52" s="508"/>
      <c r="Z52" s="508"/>
      <c r="AA52" s="508"/>
      <c r="AB52" s="508">
        <f>職員設定用!$B$19+(D51*$BF$42)+($AB$41-1)*100000</f>
        <v>3480000</v>
      </c>
      <c r="AC52" s="508"/>
      <c r="AD52" s="508"/>
      <c r="AE52" s="508"/>
      <c r="AF52" s="508"/>
      <c r="AG52" s="508"/>
      <c r="AH52" s="508"/>
      <c r="AI52" s="508">
        <f>職員設定用!$B$19+(D51*$BF$42)+($AI$41-1)*100000</f>
        <v>3580000</v>
      </c>
      <c r="AJ52" s="508"/>
      <c r="AK52" s="508"/>
      <c r="AL52" s="508"/>
      <c r="AM52" s="508"/>
      <c r="AN52" s="508"/>
      <c r="AO52" s="508"/>
      <c r="AP52" s="521">
        <f>職員設定用!$B$19+(D51*$BF$42)+($AP$41-1)*100000</f>
        <v>3680000</v>
      </c>
      <c r="AQ52" s="521"/>
      <c r="AR52" s="521"/>
      <c r="AS52" s="521"/>
      <c r="AT52" s="521"/>
      <c r="AU52" s="521"/>
      <c r="AV52" s="529"/>
    </row>
    <row r="53" spans="2:48" ht="21" customHeight="1">
      <c r="B53" s="499"/>
      <c r="C53" s="500"/>
      <c r="D53" s="489">
        <v>6</v>
      </c>
      <c r="E53" s="489"/>
      <c r="F53" s="491"/>
      <c r="G53" s="492">
        <f>職員設定用!$B$19+($BF$40*D53)</f>
        <v>2290000</v>
      </c>
      <c r="H53" s="493"/>
      <c r="I53" s="493"/>
      <c r="J53" s="493"/>
      <c r="K53" s="493"/>
      <c r="L53" s="493"/>
      <c r="M53" s="493"/>
      <c r="N53" s="493">
        <f>職員設定用!$B$19+(D53*$BF$40)+($N$41-1)*100000</f>
        <v>2290000</v>
      </c>
      <c r="O53" s="493"/>
      <c r="P53" s="493"/>
      <c r="Q53" s="493"/>
      <c r="R53" s="493"/>
      <c r="S53" s="493"/>
      <c r="T53" s="493"/>
      <c r="U53" s="493">
        <f>職員設定用!$B$19+($BF$40*D53)+($U$41-1)*100000</f>
        <v>2390000</v>
      </c>
      <c r="V53" s="493"/>
      <c r="W53" s="493"/>
      <c r="X53" s="493"/>
      <c r="Y53" s="493"/>
      <c r="Z53" s="493"/>
      <c r="AA53" s="493"/>
      <c r="AB53" s="493">
        <f>職員設定用!$B$19+($BF$40*D53)+($AB$41-1)*100000</f>
        <v>2490000</v>
      </c>
      <c r="AC53" s="493"/>
      <c r="AD53" s="493"/>
      <c r="AE53" s="493"/>
      <c r="AF53" s="493"/>
      <c r="AG53" s="493"/>
      <c r="AH53" s="493"/>
      <c r="AI53" s="493">
        <f>職員設定用!$B$19+(D53*$BF$40)+($AI$41-1)*100000</f>
        <v>2590000</v>
      </c>
      <c r="AJ53" s="493"/>
      <c r="AK53" s="493"/>
      <c r="AL53" s="493"/>
      <c r="AM53" s="493"/>
      <c r="AN53" s="493"/>
      <c r="AO53" s="493"/>
      <c r="AP53" s="493">
        <f>職員設定用!$B$19+(D53*$BF$40)+($AP$41-1)*100000</f>
        <v>2690000</v>
      </c>
      <c r="AQ53" s="493"/>
      <c r="AR53" s="493"/>
      <c r="AS53" s="493"/>
      <c r="AT53" s="493"/>
      <c r="AU53" s="493"/>
      <c r="AV53" s="520"/>
    </row>
    <row r="54" spans="2:48" ht="21" customHeight="1">
      <c r="B54" s="499"/>
      <c r="C54" s="500"/>
      <c r="D54" s="489"/>
      <c r="E54" s="489"/>
      <c r="F54" s="491"/>
      <c r="G54" s="507">
        <f>職員設定用!$B$19+($BF$42*D53)</f>
        <v>3850000</v>
      </c>
      <c r="H54" s="508"/>
      <c r="I54" s="508"/>
      <c r="J54" s="508"/>
      <c r="K54" s="508"/>
      <c r="L54" s="508"/>
      <c r="M54" s="508"/>
      <c r="N54" s="508">
        <f>職員設定用!$B$19+(D53*$BF$42)+($N$41-1)*100000</f>
        <v>3850000</v>
      </c>
      <c r="O54" s="508"/>
      <c r="P54" s="508"/>
      <c r="Q54" s="508"/>
      <c r="R54" s="508"/>
      <c r="S54" s="508"/>
      <c r="T54" s="508"/>
      <c r="U54" s="508">
        <f>職員設定用!$B$19+(D53*$BF$42)+($U$41-1)*100000</f>
        <v>3950000</v>
      </c>
      <c r="V54" s="508"/>
      <c r="W54" s="508"/>
      <c r="X54" s="508"/>
      <c r="Y54" s="508"/>
      <c r="Z54" s="508"/>
      <c r="AA54" s="508"/>
      <c r="AB54" s="508">
        <f>職員設定用!$B$19+(D53*$BF$42)+($AB$41-1)*100000</f>
        <v>4050000</v>
      </c>
      <c r="AC54" s="508"/>
      <c r="AD54" s="508"/>
      <c r="AE54" s="508"/>
      <c r="AF54" s="508"/>
      <c r="AG54" s="508"/>
      <c r="AH54" s="508"/>
      <c r="AI54" s="508">
        <f>職員設定用!$B$19+(D53*$BF$42)+($AI$41-1)*100000</f>
        <v>4150000</v>
      </c>
      <c r="AJ54" s="508"/>
      <c r="AK54" s="508"/>
      <c r="AL54" s="508"/>
      <c r="AM54" s="508"/>
      <c r="AN54" s="508"/>
      <c r="AO54" s="508"/>
      <c r="AP54" s="508">
        <f>職員設定用!$B$19+(D53*$BF$42)+($AP$41-1)*100000</f>
        <v>4250000</v>
      </c>
      <c r="AQ54" s="508"/>
      <c r="AR54" s="508"/>
      <c r="AS54" s="508"/>
      <c r="AT54" s="508"/>
      <c r="AU54" s="508"/>
      <c r="AV54" s="522"/>
    </row>
    <row r="55" spans="2:48" ht="21" customHeight="1">
      <c r="B55" s="499"/>
      <c r="C55" s="500"/>
      <c r="D55" s="489">
        <v>7</v>
      </c>
      <c r="E55" s="489"/>
      <c r="F55" s="491"/>
      <c r="G55" s="492">
        <f>職員設定用!$B$19+($BF$40*D55)</f>
        <v>2600000</v>
      </c>
      <c r="H55" s="493"/>
      <c r="I55" s="493"/>
      <c r="J55" s="493"/>
      <c r="K55" s="493"/>
      <c r="L55" s="493"/>
      <c r="M55" s="493"/>
      <c r="N55" s="493">
        <f>職員設定用!$B$19+(D55*$BF$40)+($N$41-1)*100000</f>
        <v>2600000</v>
      </c>
      <c r="O55" s="493"/>
      <c r="P55" s="493"/>
      <c r="Q55" s="493"/>
      <c r="R55" s="493"/>
      <c r="S55" s="493"/>
      <c r="T55" s="493"/>
      <c r="U55" s="493">
        <f>職員設定用!$B$19+($BF$40*D55)+($U$41-1)*100000</f>
        <v>2700000</v>
      </c>
      <c r="V55" s="493"/>
      <c r="W55" s="493"/>
      <c r="X55" s="493"/>
      <c r="Y55" s="493"/>
      <c r="Z55" s="493"/>
      <c r="AA55" s="493"/>
      <c r="AB55" s="493">
        <f>職員設定用!$B$19+($BF$40*D55)+($AB$41-1)*100000</f>
        <v>2800000</v>
      </c>
      <c r="AC55" s="493"/>
      <c r="AD55" s="493"/>
      <c r="AE55" s="493"/>
      <c r="AF55" s="493"/>
      <c r="AG55" s="493"/>
      <c r="AH55" s="493"/>
      <c r="AI55" s="493">
        <f>職員設定用!$B$19+(D55*$BF$40)+($AI$41-1)*100000</f>
        <v>2900000</v>
      </c>
      <c r="AJ55" s="493"/>
      <c r="AK55" s="493"/>
      <c r="AL55" s="493"/>
      <c r="AM55" s="493"/>
      <c r="AN55" s="493"/>
      <c r="AO55" s="493"/>
      <c r="AP55" s="493">
        <f>職員設定用!$B$19+(D55*$BF$40)+($AP$41-1)*100000</f>
        <v>3000000</v>
      </c>
      <c r="AQ55" s="493"/>
      <c r="AR55" s="493"/>
      <c r="AS55" s="493"/>
      <c r="AT55" s="493"/>
      <c r="AU55" s="493"/>
      <c r="AV55" s="520"/>
    </row>
    <row r="56" spans="2:48" ht="21" customHeight="1" thickBot="1">
      <c r="B56" s="501"/>
      <c r="C56" s="502"/>
      <c r="D56" s="523"/>
      <c r="E56" s="523"/>
      <c r="F56" s="524"/>
      <c r="G56" s="525">
        <f>職員設定用!$B$19+($BF$42*D55)</f>
        <v>4420000</v>
      </c>
      <c r="H56" s="526"/>
      <c r="I56" s="526"/>
      <c r="J56" s="526"/>
      <c r="K56" s="526"/>
      <c r="L56" s="526"/>
      <c r="M56" s="526"/>
      <c r="N56" s="526">
        <f>職員設定用!$B$19+(D55*$BF$42)+($N$41-1)*100000</f>
        <v>4420000</v>
      </c>
      <c r="O56" s="526"/>
      <c r="P56" s="526"/>
      <c r="Q56" s="526"/>
      <c r="R56" s="526"/>
      <c r="S56" s="526"/>
      <c r="T56" s="526"/>
      <c r="U56" s="526">
        <f>職員設定用!$B$19+(D55*$BF$42)+($U$41-1)*100000</f>
        <v>4520000</v>
      </c>
      <c r="V56" s="526"/>
      <c r="W56" s="526"/>
      <c r="X56" s="526"/>
      <c r="Y56" s="526"/>
      <c r="Z56" s="526"/>
      <c r="AA56" s="526"/>
      <c r="AB56" s="526">
        <f>職員設定用!$B$19+(D55*$BF$42)+($AB$41-1)*100000</f>
        <v>4620000</v>
      </c>
      <c r="AC56" s="526"/>
      <c r="AD56" s="526"/>
      <c r="AE56" s="526"/>
      <c r="AF56" s="526"/>
      <c r="AG56" s="526"/>
      <c r="AH56" s="526"/>
      <c r="AI56" s="526">
        <f>職員設定用!$B$19+(D55*$BF$42)+($AI$41-1)*100000</f>
        <v>4720000</v>
      </c>
      <c r="AJ56" s="526"/>
      <c r="AK56" s="526"/>
      <c r="AL56" s="526"/>
      <c r="AM56" s="526"/>
      <c r="AN56" s="526"/>
      <c r="AO56" s="526"/>
      <c r="AP56" s="526">
        <f>職員設定用!$B$19+(D55*$BF$42)+($AP$41-1)*100000</f>
        <v>4820000</v>
      </c>
      <c r="AQ56" s="526"/>
      <c r="AR56" s="526"/>
      <c r="AS56" s="526"/>
      <c r="AT56" s="526"/>
      <c r="AU56" s="526"/>
      <c r="AV56" s="527"/>
    </row>
    <row r="57" spans="2:48" ht="21" customHeight="1"/>
    <row r="58" spans="2:48" ht="21" customHeight="1"/>
    <row r="59" spans="2:48" ht="21" customHeight="1"/>
    <row r="60" spans="2:48" ht="21" customHeight="1"/>
    <row r="61" spans="2:48" ht="21" customHeight="1"/>
    <row r="62" spans="2:48" ht="21" customHeight="1"/>
    <row r="63" spans="2:48" ht="21" customHeight="1"/>
    <row r="64" spans="2:48" ht="21" customHeight="1"/>
    <row r="65" ht="21" customHeight="1"/>
    <row r="66" ht="21" customHeight="1"/>
    <row r="67" ht="21" customHeight="1"/>
  </sheetData>
  <sheetProtection algorithmName="SHA-512" hashValue="9XmcMdqCuuxG416GHCKVz3YpMSgPsPj7T/NcZTcgnIv5WXBLUpEiQPSa58mPYjFs0pQYVJqzYBk7YIdnLHIOKA==" saltValue="QaOjp3yGmuEAjMXcU/vgEA==" spinCount="100000" sheet="1" selectLockedCells="1" selectUnlockedCells="1"/>
  <mergeCells count="398">
    <mergeCell ref="BE27:BF27"/>
    <mergeCell ref="BG27:BH27"/>
    <mergeCell ref="BI27:BL27"/>
    <mergeCell ref="BP25:BS25"/>
    <mergeCell ref="BU25:BX25"/>
    <mergeCell ref="CA25:CB25"/>
    <mergeCell ref="CC25:CD25"/>
    <mergeCell ref="CE25:CH25"/>
    <mergeCell ref="BP26:BS26"/>
    <mergeCell ref="BU26:BX26"/>
    <mergeCell ref="CA26:CB26"/>
    <mergeCell ref="CC26:CD26"/>
    <mergeCell ref="CE26:CH26"/>
    <mergeCell ref="CE34:CH34"/>
    <mergeCell ref="BZ35:CD35"/>
    <mergeCell ref="CE35:CH35"/>
    <mergeCell ref="BO36:BV36"/>
    <mergeCell ref="BW36:CA36"/>
    <mergeCell ref="CE36:CI36"/>
    <mergeCell ref="BP27:BS27"/>
    <mergeCell ref="BU27:BX27"/>
    <mergeCell ref="CA27:CB27"/>
    <mergeCell ref="CC27:CD27"/>
    <mergeCell ref="CE27:CH27"/>
    <mergeCell ref="BP30:BS30"/>
    <mergeCell ref="BY30:CB30"/>
    <mergeCell ref="CE30:CH30"/>
    <mergeCell ref="BZ32:CD32"/>
    <mergeCell ref="CE32:CH32"/>
    <mergeCell ref="BP31:BS31"/>
    <mergeCell ref="BY31:CB31"/>
    <mergeCell ref="CE31:CH31"/>
    <mergeCell ref="BG24:BH24"/>
    <mergeCell ref="BI24:BL24"/>
    <mergeCell ref="BC15:BG15"/>
    <mergeCell ref="BH15:BJ15"/>
    <mergeCell ref="BY5:CB5"/>
    <mergeCell ref="BH17:BJ17"/>
    <mergeCell ref="AS21:BN21"/>
    <mergeCell ref="BO21:CJ21"/>
    <mergeCell ref="AZ14:BB14"/>
    <mergeCell ref="BA8:BD8"/>
    <mergeCell ref="BA9:BD9"/>
    <mergeCell ref="BP24:BS24"/>
    <mergeCell ref="BU24:BX24"/>
    <mergeCell ref="CA24:CB24"/>
    <mergeCell ref="CC24:CD24"/>
    <mergeCell ref="CE24:CH24"/>
    <mergeCell ref="BY10:CB10"/>
    <mergeCell ref="CC10:CG10"/>
    <mergeCell ref="CC9:CG9"/>
    <mergeCell ref="BH14:BJ14"/>
    <mergeCell ref="BY4:CB4"/>
    <mergeCell ref="CC4:CG4"/>
    <mergeCell ref="BY9:CB9"/>
    <mergeCell ref="BC13:BG13"/>
    <mergeCell ref="BH13:BJ13"/>
    <mergeCell ref="BC14:BG14"/>
    <mergeCell ref="BA6:BD6"/>
    <mergeCell ref="BA7:BD7"/>
    <mergeCell ref="BA4:BE4"/>
    <mergeCell ref="BA5:BD5"/>
    <mergeCell ref="AI56:AO56"/>
    <mergeCell ref="AP56:AV56"/>
    <mergeCell ref="AP51:AV51"/>
    <mergeCell ref="G52:M52"/>
    <mergeCell ref="N52:T52"/>
    <mergeCell ref="U52:AA52"/>
    <mergeCell ref="AB52:AH52"/>
    <mergeCell ref="AI52:AO52"/>
    <mergeCell ref="AP52:AV52"/>
    <mergeCell ref="D55:F56"/>
    <mergeCell ref="G55:M55"/>
    <mergeCell ref="N55:T55"/>
    <mergeCell ref="U55:AA55"/>
    <mergeCell ref="AB55:AH55"/>
    <mergeCell ref="AI55:AO55"/>
    <mergeCell ref="AP53:AV53"/>
    <mergeCell ref="G54:M54"/>
    <mergeCell ref="N54:T54"/>
    <mergeCell ref="U54:AA54"/>
    <mergeCell ref="AB54:AH54"/>
    <mergeCell ref="AI54:AO54"/>
    <mergeCell ref="AP54:AV54"/>
    <mergeCell ref="D53:F54"/>
    <mergeCell ref="G53:M53"/>
    <mergeCell ref="N53:T53"/>
    <mergeCell ref="U53:AA53"/>
    <mergeCell ref="AB53:AH53"/>
    <mergeCell ref="AI53:AO53"/>
    <mergeCell ref="AP55:AV55"/>
    <mergeCell ref="G56:M56"/>
    <mergeCell ref="N56:T56"/>
    <mergeCell ref="U56:AA56"/>
    <mergeCell ref="AB56:AH56"/>
    <mergeCell ref="D51:F52"/>
    <mergeCell ref="G51:M51"/>
    <mergeCell ref="N51:T51"/>
    <mergeCell ref="U51:AA51"/>
    <mergeCell ref="AB51:AH51"/>
    <mergeCell ref="AI51:AO51"/>
    <mergeCell ref="AP49:AV49"/>
    <mergeCell ref="G50:M50"/>
    <mergeCell ref="N50:T50"/>
    <mergeCell ref="U50:AA50"/>
    <mergeCell ref="AB50:AH50"/>
    <mergeCell ref="AI50:AO50"/>
    <mergeCell ref="AP50:AV50"/>
    <mergeCell ref="D49:F50"/>
    <mergeCell ref="G49:M49"/>
    <mergeCell ref="N49:T49"/>
    <mergeCell ref="U49:AA49"/>
    <mergeCell ref="AB49:AH49"/>
    <mergeCell ref="AI49:AO49"/>
    <mergeCell ref="U48:AA48"/>
    <mergeCell ref="AB48:AH48"/>
    <mergeCell ref="AI48:AO48"/>
    <mergeCell ref="AP48:AV48"/>
    <mergeCell ref="D47:F48"/>
    <mergeCell ref="G47:M47"/>
    <mergeCell ref="N47:T47"/>
    <mergeCell ref="U47:AA47"/>
    <mergeCell ref="AB47:AH47"/>
    <mergeCell ref="AI47:AO47"/>
    <mergeCell ref="AP47:AV47"/>
    <mergeCell ref="G48:M48"/>
    <mergeCell ref="N48:T48"/>
    <mergeCell ref="N46:T46"/>
    <mergeCell ref="U46:AA46"/>
    <mergeCell ref="AB46:AH46"/>
    <mergeCell ref="AI46:AO46"/>
    <mergeCell ref="AP46:AV46"/>
    <mergeCell ref="N44:T44"/>
    <mergeCell ref="U44:AA44"/>
    <mergeCell ref="AB44:AH44"/>
    <mergeCell ref="AI44:AO44"/>
    <mergeCell ref="AP44:AV44"/>
    <mergeCell ref="D45:F46"/>
    <mergeCell ref="G45:M45"/>
    <mergeCell ref="N45:T45"/>
    <mergeCell ref="U45:AA45"/>
    <mergeCell ref="AB45:AH45"/>
    <mergeCell ref="BJ42:BK43"/>
    <mergeCell ref="B43:C56"/>
    <mergeCell ref="D43:F44"/>
    <mergeCell ref="G43:M43"/>
    <mergeCell ref="N43:T43"/>
    <mergeCell ref="U43:AA43"/>
    <mergeCell ref="AB43:AH43"/>
    <mergeCell ref="AI43:AO43"/>
    <mergeCell ref="AP43:AV43"/>
    <mergeCell ref="G44:M44"/>
    <mergeCell ref="AB41:AH42"/>
    <mergeCell ref="AI41:AO42"/>
    <mergeCell ref="AP41:AV42"/>
    <mergeCell ref="B42:F42"/>
    <mergeCell ref="AZ42:BE43"/>
    <mergeCell ref="BF42:BI43"/>
    <mergeCell ref="AI45:AO45"/>
    <mergeCell ref="AP45:AV45"/>
    <mergeCell ref="G46:M46"/>
    <mergeCell ref="AZ39:BK39"/>
    <mergeCell ref="B40:F40"/>
    <mergeCell ref="G40:AV40"/>
    <mergeCell ref="AZ40:BE41"/>
    <mergeCell ref="BF40:BI41"/>
    <mergeCell ref="BJ40:BK41"/>
    <mergeCell ref="B41:F41"/>
    <mergeCell ref="G41:M42"/>
    <mergeCell ref="N41:T42"/>
    <mergeCell ref="U41:AA42"/>
    <mergeCell ref="AS36:AZ36"/>
    <mergeCell ref="BA36:BE36"/>
    <mergeCell ref="BI36:BM36"/>
    <mergeCell ref="A36:H36"/>
    <mergeCell ref="I36:M36"/>
    <mergeCell ref="Q36:U36"/>
    <mergeCell ref="W36:AD36"/>
    <mergeCell ref="AE36:AI36"/>
    <mergeCell ref="AM36:AQ36"/>
    <mergeCell ref="Q34:T34"/>
    <mergeCell ref="AM34:AP34"/>
    <mergeCell ref="BI34:BL34"/>
    <mergeCell ref="L35:P35"/>
    <mergeCell ref="Q35:T35"/>
    <mergeCell ref="AH35:AL35"/>
    <mergeCell ref="AM35:AP35"/>
    <mergeCell ref="BD35:BH35"/>
    <mergeCell ref="BI35:BL35"/>
    <mergeCell ref="L32:P32"/>
    <mergeCell ref="Q32:T32"/>
    <mergeCell ref="AH32:AL32"/>
    <mergeCell ref="AM32:AP32"/>
    <mergeCell ref="BD32:BH32"/>
    <mergeCell ref="BI32:BL32"/>
    <mergeCell ref="BC30:BF30"/>
    <mergeCell ref="BI30:BL30"/>
    <mergeCell ref="B31:E31"/>
    <mergeCell ref="K31:N31"/>
    <mergeCell ref="Q31:T31"/>
    <mergeCell ref="X31:AA31"/>
    <mergeCell ref="AG31:AJ31"/>
    <mergeCell ref="AM31:AP31"/>
    <mergeCell ref="B30:E30"/>
    <mergeCell ref="K30:N30"/>
    <mergeCell ref="Q30:T30"/>
    <mergeCell ref="X30:AA30"/>
    <mergeCell ref="AG30:AJ30"/>
    <mergeCell ref="AM30:AP30"/>
    <mergeCell ref="AT30:AW30"/>
    <mergeCell ref="AC27:AF27"/>
    <mergeCell ref="AI27:AJ27"/>
    <mergeCell ref="AK27:AL27"/>
    <mergeCell ref="AM27:AP27"/>
    <mergeCell ref="AT27:AW27"/>
    <mergeCell ref="AY27:BB27"/>
    <mergeCell ref="B27:E27"/>
    <mergeCell ref="G27:J27"/>
    <mergeCell ref="M27:N27"/>
    <mergeCell ref="O27:P27"/>
    <mergeCell ref="Q27:T27"/>
    <mergeCell ref="X27:AA27"/>
    <mergeCell ref="AM26:AP26"/>
    <mergeCell ref="AT26:AW26"/>
    <mergeCell ref="AY26:BB26"/>
    <mergeCell ref="BE26:BF26"/>
    <mergeCell ref="BG26:BH26"/>
    <mergeCell ref="BI26:BL26"/>
    <mergeCell ref="BI25:BL25"/>
    <mergeCell ref="B26:E26"/>
    <mergeCell ref="G26:J26"/>
    <mergeCell ref="M26:N26"/>
    <mergeCell ref="O26:P26"/>
    <mergeCell ref="Q26:T26"/>
    <mergeCell ref="X26:AA26"/>
    <mergeCell ref="AC26:AF26"/>
    <mergeCell ref="AI26:AJ26"/>
    <mergeCell ref="AK26:AL26"/>
    <mergeCell ref="AK25:AL25"/>
    <mergeCell ref="AM25:AP25"/>
    <mergeCell ref="AT25:AW25"/>
    <mergeCell ref="AY25:BB25"/>
    <mergeCell ref="BE25:BF25"/>
    <mergeCell ref="BG25:BH25"/>
    <mergeCell ref="B25:E25"/>
    <mergeCell ref="G25:J25"/>
    <mergeCell ref="M25:N25"/>
    <mergeCell ref="O25:P25"/>
    <mergeCell ref="Q25:T25"/>
    <mergeCell ref="X25:AA25"/>
    <mergeCell ref="AC25:AF25"/>
    <mergeCell ref="AI25:AJ25"/>
    <mergeCell ref="AI24:AJ24"/>
    <mergeCell ref="A21:V21"/>
    <mergeCell ref="W21:AR21"/>
    <mergeCell ref="B24:E24"/>
    <mergeCell ref="G24:J24"/>
    <mergeCell ref="M24:N24"/>
    <mergeCell ref="O24:P24"/>
    <mergeCell ref="Q24:T24"/>
    <mergeCell ref="X24:AA24"/>
    <mergeCell ref="AC24:AF24"/>
    <mergeCell ref="AK24:AL24"/>
    <mergeCell ref="AM24:AP24"/>
    <mergeCell ref="B19:D19"/>
    <mergeCell ref="E19:I19"/>
    <mergeCell ref="J19:K19"/>
    <mergeCell ref="L19:Q19"/>
    <mergeCell ref="S19:T19"/>
    <mergeCell ref="AT24:AW24"/>
    <mergeCell ref="AY24:BB24"/>
    <mergeCell ref="BE24:BF24"/>
    <mergeCell ref="AG17:AI17"/>
    <mergeCell ref="AJ17:AK17"/>
    <mergeCell ref="AL17:AO17"/>
    <mergeCell ref="AU17:BB17"/>
    <mergeCell ref="BC17:BG17"/>
    <mergeCell ref="B18:D18"/>
    <mergeCell ref="E18:I18"/>
    <mergeCell ref="J18:K18"/>
    <mergeCell ref="V18:X18"/>
    <mergeCell ref="Y18:AD18"/>
    <mergeCell ref="B17:D17"/>
    <mergeCell ref="E17:I17"/>
    <mergeCell ref="J17:K17"/>
    <mergeCell ref="L17:Q17"/>
    <mergeCell ref="L18:Q18"/>
    <mergeCell ref="S18:U18"/>
    <mergeCell ref="L4:N4"/>
    <mergeCell ref="O4:T4"/>
    <mergeCell ref="BY3:CH3"/>
    <mergeCell ref="BY8:CH8"/>
    <mergeCell ref="V4:X4"/>
    <mergeCell ref="Y4:AD4"/>
    <mergeCell ref="V5:X5"/>
    <mergeCell ref="Y5:AD5"/>
    <mergeCell ref="V6:X6"/>
    <mergeCell ref="Y6:AD6"/>
    <mergeCell ref="V7:X7"/>
    <mergeCell ref="Y7:AD7"/>
    <mergeCell ref="AQ6:AT6"/>
    <mergeCell ref="AV6:AY6"/>
    <mergeCell ref="AV5:AY5"/>
    <mergeCell ref="AG5:AK5"/>
    <mergeCell ref="AL5:AO5"/>
    <mergeCell ref="AQ5:AT5"/>
    <mergeCell ref="AQ4:AU4"/>
    <mergeCell ref="AG8:AK8"/>
    <mergeCell ref="AL3:BE3"/>
    <mergeCell ref="L8:Q8"/>
    <mergeCell ref="CC5:CG5"/>
    <mergeCell ref="AL4:AP4"/>
    <mergeCell ref="AV4:AZ4"/>
    <mergeCell ref="V19:W19"/>
    <mergeCell ref="Y19:AD19"/>
    <mergeCell ref="AG10:AL10"/>
    <mergeCell ref="AM10:AN10"/>
    <mergeCell ref="AO10:AS10"/>
    <mergeCell ref="AO13:AX13"/>
    <mergeCell ref="AZ13:BB13"/>
    <mergeCell ref="AG15:AH15"/>
    <mergeCell ref="AI15:AJ15"/>
    <mergeCell ref="AK15:AM15"/>
    <mergeCell ref="AO15:AX15"/>
    <mergeCell ref="AZ15:BB15"/>
    <mergeCell ref="AK14:AM14"/>
    <mergeCell ref="AT10:AU10"/>
    <mergeCell ref="AV10:AZ10"/>
    <mergeCell ref="AG13:AH13"/>
    <mergeCell ref="V10:AE10"/>
    <mergeCell ref="AV7:AY7"/>
    <mergeCell ref="AG14:AH14"/>
    <mergeCell ref="AI14:AJ14"/>
    <mergeCell ref="S17:U17"/>
    <mergeCell ref="V17:X17"/>
    <mergeCell ref="Y17:AD17"/>
    <mergeCell ref="AG7:AK7"/>
    <mergeCell ref="AL7:AO7"/>
    <mergeCell ref="AQ7:AT7"/>
    <mergeCell ref="AV9:AY9"/>
    <mergeCell ref="AL9:AO9"/>
    <mergeCell ref="AQ9:AT9"/>
    <mergeCell ref="V8:AA8"/>
    <mergeCell ref="AB8:AD8"/>
    <mergeCell ref="V9:AA9"/>
    <mergeCell ref="AB9:AD9"/>
    <mergeCell ref="S16:U16"/>
    <mergeCell ref="V16:X16"/>
    <mergeCell ref="Y16:AD16"/>
    <mergeCell ref="S15:U15"/>
    <mergeCell ref="V15:X15"/>
    <mergeCell ref="Y15:AD15"/>
    <mergeCell ref="AO14:AX14"/>
    <mergeCell ref="AL8:AO8"/>
    <mergeCell ref="AQ8:AT8"/>
    <mergeCell ref="AV8:AY8"/>
    <mergeCell ref="O6:T6"/>
    <mergeCell ref="AL6:AO6"/>
    <mergeCell ref="B9:G9"/>
    <mergeCell ref="H9:J9"/>
    <mergeCell ref="R8:T8"/>
    <mergeCell ref="L7:N7"/>
    <mergeCell ref="O7:T7"/>
    <mergeCell ref="B16:D16"/>
    <mergeCell ref="E16:I16"/>
    <mergeCell ref="J16:K16"/>
    <mergeCell ref="L16:Q16"/>
    <mergeCell ref="B8:G8"/>
    <mergeCell ref="B10:K10"/>
    <mergeCell ref="B15:D15"/>
    <mergeCell ref="E15:I15"/>
    <mergeCell ref="J15:K15"/>
    <mergeCell ref="L15:Q15"/>
    <mergeCell ref="AG6:AK6"/>
    <mergeCell ref="B2:K2"/>
    <mergeCell ref="B12:AE12"/>
    <mergeCell ref="B3:K3"/>
    <mergeCell ref="B13:K14"/>
    <mergeCell ref="L13:R14"/>
    <mergeCell ref="S13:U14"/>
    <mergeCell ref="V13:X14"/>
    <mergeCell ref="Y13:AE14"/>
    <mergeCell ref="AG3:AK4"/>
    <mergeCell ref="B5:D5"/>
    <mergeCell ref="E5:J5"/>
    <mergeCell ref="L3:U3"/>
    <mergeCell ref="V3:AE3"/>
    <mergeCell ref="B4:D4"/>
    <mergeCell ref="E4:J4"/>
    <mergeCell ref="AG9:AK9"/>
    <mergeCell ref="H8:J8"/>
    <mergeCell ref="B6:D6"/>
    <mergeCell ref="E6:J6"/>
    <mergeCell ref="B7:D7"/>
    <mergeCell ref="E7:J7"/>
    <mergeCell ref="L5:N5"/>
    <mergeCell ref="O5:T5"/>
    <mergeCell ref="L6:N6"/>
  </mergeCells>
  <phoneticPr fontId="2"/>
  <dataValidations count="1">
    <dataValidation type="list" errorStyle="warning" allowBlank="1" showInputMessage="1" showErrorMessage="1" sqref="E15:I18" xr:uid="{0F162A79-784E-4BF3-8AF4-334F050CD277}">
      <formula1>$DB$2:$DB$5</formula1>
    </dataValidation>
  </dataValidations>
  <pageMargins left="0.39370078740157483" right="0.39370078740157483" top="0.59055118110236227" bottom="0.39370078740157483" header="0.31496062992125984" footer="0.31496062992125984"/>
  <pageSetup paperSize="9" scale="76" fitToHeight="0" orientation="landscape" r:id="rId1"/>
  <rowBreaks count="1" manualBreakCount="1">
    <brk id="36" max="87"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CE952-EEC5-4BF8-A772-769794F50816}">
  <dimension ref="B1:W45"/>
  <sheetViews>
    <sheetView workbookViewId="0">
      <selection activeCell="G1" sqref="G1"/>
    </sheetView>
  </sheetViews>
  <sheetFormatPr defaultRowHeight="13.5"/>
  <cols>
    <col min="1" max="1" width="2.75" customWidth="1"/>
    <col min="2" max="2" width="12.5" bestFit="1" customWidth="1"/>
    <col min="3" max="3" width="6.625" hidden="1" customWidth="1"/>
    <col min="4" max="4" width="10.25" bestFit="1" customWidth="1"/>
    <col min="5" max="5" width="10.25" customWidth="1"/>
    <col min="6" max="6" width="9.125" bestFit="1" customWidth="1"/>
    <col min="7" max="7" width="9.125" customWidth="1"/>
    <col min="8" max="8" width="9.125" bestFit="1" customWidth="1"/>
    <col min="9" max="9" width="9.125" customWidth="1"/>
  </cols>
  <sheetData>
    <row r="1" spans="2:23" ht="30" customHeight="1" thickBot="1">
      <c r="B1" s="206" t="s">
        <v>188</v>
      </c>
      <c r="C1" s="254"/>
      <c r="D1" s="551" t="str">
        <f>職員設定用!$C$2</f>
        <v>令和8年度</v>
      </c>
      <c r="E1" s="552"/>
    </row>
    <row r="2" spans="2:23" ht="30" customHeight="1">
      <c r="B2" s="196"/>
      <c r="C2" s="196"/>
      <c r="D2" s="196"/>
      <c r="E2" s="196"/>
    </row>
    <row r="3" spans="2:23" ht="22.5" customHeight="1">
      <c r="B3" s="213" t="s">
        <v>191</v>
      </c>
      <c r="C3" s="216"/>
      <c r="D3" s="208">
        <v>1</v>
      </c>
      <c r="E3" s="209"/>
      <c r="F3" s="208">
        <v>2</v>
      </c>
      <c r="G3" s="209"/>
      <c r="H3" s="208">
        <v>3</v>
      </c>
      <c r="I3" s="209"/>
      <c r="J3" s="208">
        <v>4</v>
      </c>
      <c r="K3" s="209"/>
      <c r="L3" s="208">
        <v>5</v>
      </c>
      <c r="M3" s="209"/>
      <c r="N3" s="208">
        <v>6</v>
      </c>
      <c r="O3" s="209"/>
      <c r="P3" s="208">
        <v>7</v>
      </c>
      <c r="Q3" s="209"/>
      <c r="R3" s="208">
        <v>8</v>
      </c>
      <c r="S3" s="209"/>
      <c r="T3" s="208">
        <v>9</v>
      </c>
      <c r="U3" s="209"/>
      <c r="V3" s="208">
        <v>10</v>
      </c>
      <c r="W3" s="209"/>
    </row>
    <row r="4" spans="2:23" ht="22.5" customHeight="1">
      <c r="B4" s="214" t="s">
        <v>190</v>
      </c>
      <c r="C4" s="217"/>
      <c r="D4" s="210" t="s">
        <v>67</v>
      </c>
      <c r="E4" s="211" t="s">
        <v>189</v>
      </c>
      <c r="F4" s="210" t="s">
        <v>67</v>
      </c>
      <c r="G4" s="211" t="s">
        <v>189</v>
      </c>
      <c r="H4" s="210" t="s">
        <v>67</v>
      </c>
      <c r="I4" s="211" t="s">
        <v>189</v>
      </c>
      <c r="J4" s="210" t="s">
        <v>67</v>
      </c>
      <c r="K4" s="211" t="s">
        <v>189</v>
      </c>
      <c r="L4" s="210" t="s">
        <v>67</v>
      </c>
      <c r="M4" s="211" t="s">
        <v>189</v>
      </c>
      <c r="N4" s="210" t="s">
        <v>67</v>
      </c>
      <c r="O4" s="211" t="s">
        <v>189</v>
      </c>
      <c r="P4" s="210" t="s">
        <v>67</v>
      </c>
      <c r="Q4" s="211" t="s">
        <v>189</v>
      </c>
      <c r="R4" s="210" t="s">
        <v>67</v>
      </c>
      <c r="S4" s="211" t="s">
        <v>189</v>
      </c>
      <c r="T4" s="210" t="s">
        <v>67</v>
      </c>
      <c r="U4" s="211" t="s">
        <v>189</v>
      </c>
      <c r="V4" s="210" t="s">
        <v>67</v>
      </c>
      <c r="W4" s="211" t="s">
        <v>189</v>
      </c>
    </row>
    <row r="5" spans="2:23" ht="22.5" customHeight="1">
      <c r="B5" s="212">
        <v>0</v>
      </c>
      <c r="C5" s="218">
        <f>IF(B5-職員設定用!$B$19/10000&gt;0,B5-職員設定用!$B$19/10000,0)</f>
        <v>0</v>
      </c>
      <c r="D5" s="207">
        <f>IF(職員設定用!$B$5*$C5*100+職員設定用!$B$7*D$3+職員設定用!$B$8&gt;=職員設定用!$B$10,職員設定用!$B$10,職員設定用!$B$5*$C5*100+職員設定用!$B$7*D$3+職員設定用!$B$8)
+IF(職員設定用!$C$5*$C5*100+職員設定用!$C$7*D$3+職員設定用!$C$8&gt;=職員設定用!$C$10,職員設定用!$C$10,職員設定用!$C$5*$C5*100+職員設定用!$C$7*D$3+職員設定用!$C$8)
+IF(職員設定用!$D$5*$C5*100+職員設定用!$D$7*D$3+職員設定用!$D$8&gt;=職員設定用!$D$10,職員設定用!$D$10,職員設定用!$D$5*$C5*100+職員設定用!$D$7*D$3+職員設定用!$D$8)
+IF(職員設定用!$E$5*$C5*100+職員設定用!$E$7*D$3+職員設定用!$E$8+職員設定用!$E$9*D$3&gt;=職員設定用!$E$10,職員設定用!$E$10,職員設定用!$E$5*$C5*100+職員設定用!$E$7*D$3+職員設定用!$E$8+職員設定用!$E$9*D$3)</f>
        <v>91900</v>
      </c>
      <c r="E5" s="215">
        <f>ROUNDUP(D5/12,-2)</f>
        <v>7700</v>
      </c>
      <c r="F5" s="207">
        <f>IF(職員設定用!$B$5*$C5*100+職員設定用!$B$7*F$3+職員設定用!$B$8&gt;=職員設定用!$B$10,職員設定用!$B$10,職員設定用!$B$5*$C5*100+職員設定用!$B$7*F$3+職員設定用!$B$8)
+IF(職員設定用!$C$5*$C5*100+職員設定用!$C$7*F$3+職員設定用!$C$8&gt;=職員設定用!$C$10,職員設定用!$C$10,職員設定用!$C$5*$C5*100+職員設定用!$C$7*F$3+職員設定用!$C$8)
+IF(職員設定用!$D$5*$C5*100+職員設定用!$D$7*F$3+職員設定用!$D$8&gt;=職員設定用!$D$10,職員設定用!$D$10,職員設定用!$D$5*$C5*100+職員設定用!$D$7*F$3+職員設定用!$D$8)
+IF(職員設定用!$E$5*$C5*100+職員設定用!$E$7*F$3+職員設定用!$E$8+職員設定用!$E$9*F$3&gt;=職員設定用!$E$10,職員設定用!$E$10,職員設定用!$E$5*$C5*100+職員設定用!$E$7*F$3+職員設定用!$E$8+職員設定用!$E$9*F$3)</f>
        <v>148200</v>
      </c>
      <c r="G5" s="215">
        <f>ROUNDUP(F5/12,-2)</f>
        <v>12400</v>
      </c>
      <c r="H5" s="207">
        <f>IF(職員設定用!$B$5*$C5*100+職員設定用!$B$7*H$3+職員設定用!$B$8&gt;=職員設定用!$B$10,職員設定用!$B$10,職員設定用!$B$5*$C5*100+職員設定用!$B$7*H$3+職員設定用!$B$8)
+IF(職員設定用!$C$5*$C5*100+職員設定用!$C$7*H$3+職員設定用!$C$8&gt;=職員設定用!$C$10,職員設定用!$C$10,職員設定用!$C$5*$C5*100+職員設定用!$C$7*H$3+職員設定用!$C$8)
+IF(職員設定用!$D$5*$C5*100+職員設定用!$D$7*H$3+職員設定用!$D$8&gt;=職員設定用!$D$10,職員設定用!$D$10,職員設定用!$D$5*$C5*100+職員設定用!$D$7*H$3+職員設定用!$D$8)
+IF(職員設定用!$E$5*$C5*100+職員設定用!$E$7*H$3+職員設定用!$E$8+職員設定用!$E$9*H$3&gt;=職員設定用!$E$10,職員設定用!$E$10,職員設定用!$E$5*$C5*100+職員設定用!$E$7*H$3+職員設定用!$E$8+職員設定用!$E$9*H$3)</f>
        <v>204500</v>
      </c>
      <c r="I5" s="215">
        <f>ROUNDUP(H5/12,-2)</f>
        <v>17100</v>
      </c>
      <c r="J5" s="207">
        <f>IF(職員設定用!$B$5*$C5*100+職員設定用!$B$7*J$3+職員設定用!$B$8&gt;=職員設定用!$B$10,職員設定用!$B$10,職員設定用!$B$5*$C5*100+職員設定用!$B$7*J$3+職員設定用!$B$8)
+IF(職員設定用!$C$5*$C5*100+職員設定用!$C$7*J$3+職員設定用!$C$8&gt;=職員設定用!$C$10,職員設定用!$C$10,職員設定用!$C$5*$C5*100+職員設定用!$C$7*J$3+職員設定用!$C$8)
+IF(職員設定用!$D$5*$C5*100+職員設定用!$D$7*J$3+職員設定用!$D$8&gt;=職員設定用!$D$10,職員設定用!$D$10,職員設定用!$D$5*$C5*100+職員設定用!$D$7*J$3+職員設定用!$D$8)
+IF(職員設定用!$E$5*$C5*100+職員設定用!$E$7*J$3+職員設定用!$E$8+職員設定用!$E$9*J$3&gt;=職員設定用!$E$10,職員設定用!$E$10,職員設定用!$E$5*$C5*100+職員設定用!$E$7*J$3+職員設定用!$E$8+職員設定用!$E$9*J$3)</f>
        <v>260800</v>
      </c>
      <c r="K5" s="215">
        <f>ROUNDUP(J5/12,-2)</f>
        <v>21800</v>
      </c>
      <c r="L5" s="207">
        <f>IF(職員設定用!$B$5*$C5*100+職員設定用!$B$7*L$3+職員設定用!$B$8&gt;=職員設定用!$B$10,職員設定用!$B$10,職員設定用!$B$5*$C5*100+職員設定用!$B$7*L$3+職員設定用!$B$8)
+IF(職員設定用!$C$5*$C5*100+職員設定用!$C$7*L$3+職員設定用!$C$8&gt;=職員設定用!$C$10,職員設定用!$C$10,職員設定用!$C$5*$C5*100+職員設定用!$C$7*L$3+職員設定用!$C$8)
+IF(職員設定用!$D$5*$C5*100+職員設定用!$D$7*L$3+職員設定用!$D$8&gt;=職員設定用!$D$10,職員設定用!$D$10,職員設定用!$D$5*$C5*100+職員設定用!$D$7*L$3+職員設定用!$D$8)
+IF(職員設定用!$E$5*$C5*100+職員設定用!$E$7*L$3+職員設定用!$E$8+職員設定用!$E$9*L$3&gt;=職員設定用!$E$10,職員設定用!$E$10,職員設定用!$E$5*$C5*100+職員設定用!$E$7*L$3+職員設定用!$E$8+職員設定用!$E$9*L$3)</f>
        <v>317100</v>
      </c>
      <c r="M5" s="215">
        <f>ROUNDUP(L5/12,-2)</f>
        <v>26500</v>
      </c>
      <c r="N5" s="207">
        <f>IF(職員設定用!$B$5*$C5*100+職員設定用!$B$7*N$3+職員設定用!$B$8&gt;=職員設定用!$B$10,職員設定用!$B$10,職員設定用!$B$5*$C5*100+職員設定用!$B$7*N$3+職員設定用!$B$8)
+IF(職員設定用!$C$5*$C5*100+職員設定用!$C$7*N$3+職員設定用!$C$8&gt;=職員設定用!$C$10,職員設定用!$C$10,職員設定用!$C$5*$C5*100+職員設定用!$C$7*N$3+職員設定用!$C$8)
+IF(職員設定用!$D$5*$C5*100+職員設定用!$D$7*N$3+職員設定用!$D$8&gt;=職員設定用!$D$10,職員設定用!$D$10,職員設定用!$D$5*$C5*100+職員設定用!$D$7*N$3+職員設定用!$D$8)
+IF(職員設定用!$E$5*$C5*100+職員設定用!$E$7*N$3+職員設定用!$E$8+職員設定用!$E$9*N$3&gt;=職員設定用!$E$10,職員設定用!$E$10,職員設定用!$E$5*$C5*100+職員設定用!$E$7*N$3+職員設定用!$E$8+職員設定用!$E$9*N$3)</f>
        <v>373400</v>
      </c>
      <c r="O5" s="215">
        <f>ROUNDUP(N5/12,-2)</f>
        <v>31200</v>
      </c>
      <c r="P5" s="207">
        <f>IF(職員設定用!$B$5*$C5*100+職員設定用!$B$7*P$3+職員設定用!$B$8&gt;=職員設定用!$B$10,職員設定用!$B$10,職員設定用!$B$5*$C5*100+職員設定用!$B$7*P$3+職員設定用!$B$8)
+IF(職員設定用!$C$5*$C5*100+職員設定用!$C$7*P$3+職員設定用!$C$8&gt;=職員設定用!$C$10,職員設定用!$C$10,職員設定用!$C$5*$C5*100+職員設定用!$C$7*P$3+職員設定用!$C$8)
+IF(職員設定用!$D$5*$C5*100+職員設定用!$D$7*P$3+職員設定用!$D$8&gt;=職員設定用!$D$10,職員設定用!$D$10,職員設定用!$D$5*$C5*100+職員設定用!$D$7*P$3+職員設定用!$D$8)
+IF(職員設定用!$E$5*$C5*100+職員設定用!$E$7*P$3+職員設定用!$E$8+職員設定用!$E$9*P$3&gt;=職員設定用!$E$10,職員設定用!$E$10,職員設定用!$E$5*$C5*100+職員設定用!$E$7*P$3+職員設定用!$E$8+職員設定用!$E$9*P$3)</f>
        <v>429700</v>
      </c>
      <c r="Q5" s="215">
        <f>ROUNDUP(P5/12,-2)</f>
        <v>35900</v>
      </c>
      <c r="R5" s="207">
        <f>IF(職員設定用!$B$5*$C5*100+職員設定用!$B$7*R$3+職員設定用!$B$8&gt;=職員設定用!$B$10,職員設定用!$B$10,職員設定用!$B$5*$C5*100+職員設定用!$B$7*R$3+職員設定用!$B$8)
+IF(職員設定用!$C$5*$C5*100+職員設定用!$C$7*R$3+職員設定用!$C$8&gt;=職員設定用!$C$10,職員設定用!$C$10,職員設定用!$C$5*$C5*100+職員設定用!$C$7*R$3+職員設定用!$C$8)
+IF(職員設定用!$D$5*$C5*100+職員設定用!$D$7*R$3+職員設定用!$D$8&gt;=職員設定用!$D$10,職員設定用!$D$10,職員設定用!$D$5*$C5*100+職員設定用!$D$7*R$3+職員設定用!$D$8)
+IF(職員設定用!$E$5*$C5*100+職員設定用!$E$7*R$3+職員設定用!$E$8+職員設定用!$E$9*R$3&gt;=職員設定用!$E$10,職員設定用!$E$10,職員設定用!$E$5*$C5*100+職員設定用!$E$7*R$3+職員設定用!$E$8+職員設定用!$E$9*R$3)</f>
        <v>486000</v>
      </c>
      <c r="S5" s="215">
        <f>ROUNDUP(R5/12,-2)</f>
        <v>40500</v>
      </c>
      <c r="T5" s="207">
        <f>IF(職員設定用!$B$5*$C5*100+職員設定用!$B$7*T$3+職員設定用!$B$8&gt;=職員設定用!$B$10,職員設定用!$B$10,職員設定用!$B$5*$C5*100+職員設定用!$B$7*T$3+職員設定用!$B$8)
+IF(職員設定用!$C$5*$C5*100+職員設定用!$C$7*T$3+職員設定用!$C$8&gt;=職員設定用!$C$10,職員設定用!$C$10,職員設定用!$C$5*$C5*100+職員設定用!$C$7*T$3+職員設定用!$C$8)
+IF(職員設定用!$D$5*$C5*100+職員設定用!$D$7*T$3+職員設定用!$D$8&gt;=職員設定用!$D$10,職員設定用!$D$10,職員設定用!$D$5*$C5*100+職員設定用!$D$7*T$3+職員設定用!$D$8)
+IF(職員設定用!$E$5*$C5*100+職員設定用!$E$7*T$3+職員設定用!$E$8+職員設定用!$E$9*T$3&gt;=職員設定用!$E$10,職員設定用!$E$10,職員設定用!$E$5*$C5*100+職員設定用!$E$7*T$3+職員設定用!$E$8+職員設定用!$E$9*T$3)</f>
        <v>542300</v>
      </c>
      <c r="U5" s="215">
        <f>ROUNDUP(T5/12,-2)</f>
        <v>45200</v>
      </c>
      <c r="V5" s="207">
        <f>IF(職員設定用!$B$5*$C5*100+職員設定用!$B$7*V$3+職員設定用!$B$8&gt;=職員設定用!$B$10,職員設定用!$B$10,職員設定用!$B$5*$C5*100+職員設定用!$B$7*V$3+職員設定用!$B$8)
+IF(職員設定用!$C$5*$C5*100+職員設定用!$C$7*V$3+職員設定用!$C$8&gt;=職員設定用!$C$10,職員設定用!$C$10,職員設定用!$C$5*$C5*100+職員設定用!$C$7*V$3+職員設定用!$C$8)
+IF(職員設定用!$D$5*$C5*100+職員設定用!$D$7*V$3+職員設定用!$D$8&gt;=職員設定用!$D$10,職員設定用!$D$10,職員設定用!$D$5*$C5*100+職員設定用!$D$7*V$3+職員設定用!$D$8)
+IF(職員設定用!$E$5*$C5*100+職員設定用!$E$7*V$3+職員設定用!$E$8+職員設定用!$E$9*V$3&gt;=職員設定用!$E$10,職員設定用!$E$10,職員設定用!$E$5*$C5*100+職員設定用!$E$7*V$3+職員設定用!$E$8+職員設定用!$E$9*V$3)</f>
        <v>598600</v>
      </c>
      <c r="W5" s="215">
        <f>ROUNDUP(V5/12,-2)</f>
        <v>49900</v>
      </c>
    </row>
    <row r="6" spans="2:23" ht="22.5" customHeight="1">
      <c r="B6" s="212">
        <v>50</v>
      </c>
      <c r="C6" s="218">
        <f>IF(B6-職員設定用!$B$19/10000&gt;0,B6-職員設定用!$B$19/10000,0)</f>
        <v>7</v>
      </c>
      <c r="D6" s="207">
        <f>IF(職員設定用!$B$5*$C6*100+職員設定用!$B$7*D$3+職員設定用!$B$8&gt;=職員設定用!$B$10,職員設定用!$B$10,職員設定用!$B$5*$C6*100+職員設定用!$B$7*D$3+職員設定用!$B$8)
+IF(職員設定用!$C$5*$C6*100+職員設定用!$C$7*D$3+職員設定用!$C$8&gt;=職員設定用!$C$10,職員設定用!$C$10,職員設定用!$C$5*$C6*100+職員設定用!$C$7*D$3+職員設定用!$C$8)
+IF(職員設定用!$D$5*$C6*100+職員設定用!$D$7*D$3+職員設定用!$D$8&gt;=職員設定用!$D$10,職員設定用!$D$10,職員設定用!$D$5*$C6*100+職員設定用!$D$7*D$3+職員設定用!$D$8)
+IF(職員設定用!$E$5*$C6*100+職員設定用!$E$7*D$3+職員設定用!$E$8+職員設定用!$E$9*D$3&gt;=職員設定用!$E$10,職員設定用!$E$10,職員設定用!$E$5*$C6*100+職員設定用!$E$7*D$3+職員設定用!$E$8+職員設定用!$E$9*D$3)</f>
        <v>100874</v>
      </c>
      <c r="E6" s="215">
        <f t="shared" ref="E6:G45" si="0">ROUNDUP(D6/12,-2)</f>
        <v>8500</v>
      </c>
      <c r="F6" s="207">
        <f>IF(職員設定用!$B$5*$C6*100+職員設定用!$B$7*F$3+職員設定用!$B$8&gt;=職員設定用!$B$10,職員設定用!$B$10,職員設定用!$B$5*$C6*100+職員設定用!$B$7*F$3+職員設定用!$B$8)
+IF(職員設定用!$C$5*$C6*100+職員設定用!$C$7*F$3+職員設定用!$C$8&gt;=職員設定用!$C$10,職員設定用!$C$10,職員設定用!$C$5*$C6*100+職員設定用!$C$7*F$3+職員設定用!$C$8)
+IF(職員設定用!$D$5*$C6*100+職員設定用!$D$7*F$3+職員設定用!$D$8&gt;=職員設定用!$D$10,職員設定用!$D$10,職員設定用!$D$5*$C6*100+職員設定用!$D$7*F$3+職員設定用!$D$8)
+IF(職員設定用!$E$5*$C6*100+職員設定用!$E$7*F$3+職員設定用!$E$8+職員設定用!$E$9*F$3&gt;=職員設定用!$E$10,職員設定用!$E$10,職員設定用!$E$5*$C6*100+職員設定用!$E$7*F$3+職員設定用!$E$8+職員設定用!$E$9*F$3)</f>
        <v>157174</v>
      </c>
      <c r="G6" s="215">
        <f t="shared" si="0"/>
        <v>13100</v>
      </c>
      <c r="H6" s="207">
        <f>IF(職員設定用!$B$5*$C6*100+職員設定用!$B$7*H$3+職員設定用!$B$8&gt;=職員設定用!$B$10,職員設定用!$B$10,職員設定用!$B$5*$C6*100+職員設定用!$B$7*H$3+職員設定用!$B$8)
+IF(職員設定用!$C$5*$C6*100+職員設定用!$C$7*H$3+職員設定用!$C$8&gt;=職員設定用!$C$10,職員設定用!$C$10,職員設定用!$C$5*$C6*100+職員設定用!$C$7*H$3+職員設定用!$C$8)
+IF(職員設定用!$D$5*$C6*100+職員設定用!$D$7*H$3+職員設定用!$D$8&gt;=職員設定用!$D$10,職員設定用!$D$10,職員設定用!$D$5*$C6*100+職員設定用!$D$7*H$3+職員設定用!$D$8)
+IF(職員設定用!$E$5*$C6*100+職員設定用!$E$7*H$3+職員設定用!$E$8+職員設定用!$E$9*H$3&gt;=職員設定用!$E$10,職員設定用!$E$10,職員設定用!$E$5*$C6*100+職員設定用!$E$7*H$3+職員設定用!$E$8+職員設定用!$E$9*H$3)</f>
        <v>213474</v>
      </c>
      <c r="I6" s="215">
        <f t="shared" ref="I6" si="1">ROUNDUP(H6/12,-2)</f>
        <v>17800</v>
      </c>
      <c r="J6" s="207">
        <f>IF(職員設定用!$B$5*$C6*100+職員設定用!$B$7*J$3+職員設定用!$B$8&gt;=職員設定用!$B$10,職員設定用!$B$10,職員設定用!$B$5*$C6*100+職員設定用!$B$7*J$3+職員設定用!$B$8)
+IF(職員設定用!$C$5*$C6*100+職員設定用!$C$7*J$3+職員設定用!$C$8&gt;=職員設定用!$C$10,職員設定用!$C$10,職員設定用!$C$5*$C6*100+職員設定用!$C$7*J$3+職員設定用!$C$8)
+IF(職員設定用!$D$5*$C6*100+職員設定用!$D$7*J$3+職員設定用!$D$8&gt;=職員設定用!$D$10,職員設定用!$D$10,職員設定用!$D$5*$C6*100+職員設定用!$D$7*J$3+職員設定用!$D$8)
+IF(職員設定用!$E$5*$C6*100+職員設定用!$E$7*J$3+職員設定用!$E$8+職員設定用!$E$9*J$3&gt;=職員設定用!$E$10,職員設定用!$E$10,職員設定用!$E$5*$C6*100+職員設定用!$E$7*J$3+職員設定用!$E$8+職員設定用!$E$9*J$3)</f>
        <v>269774</v>
      </c>
      <c r="K6" s="215">
        <f t="shared" ref="K6" si="2">ROUNDUP(J6/12,-2)</f>
        <v>22500</v>
      </c>
      <c r="L6" s="207">
        <f>IF(職員設定用!$B$5*$C6*100+職員設定用!$B$7*L$3+職員設定用!$B$8&gt;=職員設定用!$B$10,職員設定用!$B$10,職員設定用!$B$5*$C6*100+職員設定用!$B$7*L$3+職員設定用!$B$8)
+IF(職員設定用!$C$5*$C6*100+職員設定用!$C$7*L$3+職員設定用!$C$8&gt;=職員設定用!$C$10,職員設定用!$C$10,職員設定用!$C$5*$C6*100+職員設定用!$C$7*L$3+職員設定用!$C$8)
+IF(職員設定用!$D$5*$C6*100+職員設定用!$D$7*L$3+職員設定用!$D$8&gt;=職員設定用!$D$10,職員設定用!$D$10,職員設定用!$D$5*$C6*100+職員設定用!$D$7*L$3+職員設定用!$D$8)
+IF(職員設定用!$E$5*$C6*100+職員設定用!$E$7*L$3+職員設定用!$E$8+職員設定用!$E$9*L$3&gt;=職員設定用!$E$10,職員設定用!$E$10,職員設定用!$E$5*$C6*100+職員設定用!$E$7*L$3+職員設定用!$E$8+職員設定用!$E$9*L$3)</f>
        <v>326074</v>
      </c>
      <c r="M6" s="215">
        <f t="shared" ref="M6" si="3">ROUNDUP(L6/12,-2)</f>
        <v>27200</v>
      </c>
      <c r="N6" s="207">
        <f>IF(職員設定用!$B$5*$C6*100+職員設定用!$B$7*N$3+職員設定用!$B$8&gt;=職員設定用!$B$10,職員設定用!$B$10,職員設定用!$B$5*$C6*100+職員設定用!$B$7*N$3+職員設定用!$B$8)
+IF(職員設定用!$C$5*$C6*100+職員設定用!$C$7*N$3+職員設定用!$C$8&gt;=職員設定用!$C$10,職員設定用!$C$10,職員設定用!$C$5*$C6*100+職員設定用!$C$7*N$3+職員設定用!$C$8)
+IF(職員設定用!$D$5*$C6*100+職員設定用!$D$7*N$3+職員設定用!$D$8&gt;=職員設定用!$D$10,職員設定用!$D$10,職員設定用!$D$5*$C6*100+職員設定用!$D$7*N$3+職員設定用!$D$8)
+IF(職員設定用!$E$5*$C6*100+職員設定用!$E$7*N$3+職員設定用!$E$8+職員設定用!$E$9*N$3&gt;=職員設定用!$E$10,職員設定用!$E$10,職員設定用!$E$5*$C6*100+職員設定用!$E$7*N$3+職員設定用!$E$8+職員設定用!$E$9*N$3)</f>
        <v>382374</v>
      </c>
      <c r="O6" s="215">
        <f t="shared" ref="O6" si="4">ROUNDUP(N6/12,-2)</f>
        <v>31900</v>
      </c>
      <c r="P6" s="207">
        <f>IF(職員設定用!$B$5*$C6*100+職員設定用!$B$7*P$3+職員設定用!$B$8&gt;=職員設定用!$B$10,職員設定用!$B$10,職員設定用!$B$5*$C6*100+職員設定用!$B$7*P$3+職員設定用!$B$8)
+IF(職員設定用!$C$5*$C6*100+職員設定用!$C$7*P$3+職員設定用!$C$8&gt;=職員設定用!$C$10,職員設定用!$C$10,職員設定用!$C$5*$C6*100+職員設定用!$C$7*P$3+職員設定用!$C$8)
+IF(職員設定用!$D$5*$C6*100+職員設定用!$D$7*P$3+職員設定用!$D$8&gt;=職員設定用!$D$10,職員設定用!$D$10,職員設定用!$D$5*$C6*100+職員設定用!$D$7*P$3+職員設定用!$D$8)
+IF(職員設定用!$E$5*$C6*100+職員設定用!$E$7*P$3+職員設定用!$E$8+職員設定用!$E$9*P$3&gt;=職員設定用!$E$10,職員設定用!$E$10,職員設定用!$E$5*$C6*100+職員設定用!$E$7*P$3+職員設定用!$E$8+職員設定用!$E$9*P$3)</f>
        <v>438674</v>
      </c>
      <c r="Q6" s="215">
        <f t="shared" ref="Q6" si="5">ROUNDUP(P6/12,-2)</f>
        <v>36600</v>
      </c>
      <c r="R6" s="207">
        <f>IF(職員設定用!$B$5*$C6*100+職員設定用!$B$7*R$3+職員設定用!$B$8&gt;=職員設定用!$B$10,職員設定用!$B$10,職員設定用!$B$5*$C6*100+職員設定用!$B$7*R$3+職員設定用!$B$8)
+IF(職員設定用!$C$5*$C6*100+職員設定用!$C$7*R$3+職員設定用!$C$8&gt;=職員設定用!$C$10,職員設定用!$C$10,職員設定用!$C$5*$C6*100+職員設定用!$C$7*R$3+職員設定用!$C$8)
+IF(職員設定用!$D$5*$C6*100+職員設定用!$D$7*R$3+職員設定用!$D$8&gt;=職員設定用!$D$10,職員設定用!$D$10,職員設定用!$D$5*$C6*100+職員設定用!$D$7*R$3+職員設定用!$D$8)
+IF(職員設定用!$E$5*$C6*100+職員設定用!$E$7*R$3+職員設定用!$E$8+職員設定用!$E$9*R$3&gt;=職員設定用!$E$10,職員設定用!$E$10,職員設定用!$E$5*$C6*100+職員設定用!$E$7*R$3+職員設定用!$E$8+職員設定用!$E$9*R$3)</f>
        <v>494974</v>
      </c>
      <c r="S6" s="215">
        <f t="shared" ref="S6" si="6">ROUNDUP(R6/12,-2)</f>
        <v>41300</v>
      </c>
      <c r="T6" s="207">
        <f>IF(職員設定用!$B$5*$C6*100+職員設定用!$B$7*T$3+職員設定用!$B$8&gt;=職員設定用!$B$10,職員設定用!$B$10,職員設定用!$B$5*$C6*100+職員設定用!$B$7*T$3+職員設定用!$B$8)
+IF(職員設定用!$C$5*$C6*100+職員設定用!$C$7*T$3+職員設定用!$C$8&gt;=職員設定用!$C$10,職員設定用!$C$10,職員設定用!$C$5*$C6*100+職員設定用!$C$7*T$3+職員設定用!$C$8)
+IF(職員設定用!$D$5*$C6*100+職員設定用!$D$7*T$3+職員設定用!$D$8&gt;=職員設定用!$D$10,職員設定用!$D$10,職員設定用!$D$5*$C6*100+職員設定用!$D$7*T$3+職員設定用!$D$8)
+IF(職員設定用!$E$5*$C6*100+職員設定用!$E$7*T$3+職員設定用!$E$8+職員設定用!$E$9*T$3&gt;=職員設定用!$E$10,職員設定用!$E$10,職員設定用!$E$5*$C6*100+職員設定用!$E$7*T$3+職員設定用!$E$8+職員設定用!$E$9*T$3)</f>
        <v>551274</v>
      </c>
      <c r="U6" s="215">
        <f t="shared" ref="U6" si="7">ROUNDUP(T6/12,-2)</f>
        <v>46000</v>
      </c>
      <c r="V6" s="207">
        <f>IF(職員設定用!$B$5*$C6*100+職員設定用!$B$7*V$3+職員設定用!$B$8&gt;=職員設定用!$B$10,職員設定用!$B$10,職員設定用!$B$5*$C6*100+職員設定用!$B$7*V$3+職員設定用!$B$8)
+IF(職員設定用!$C$5*$C6*100+職員設定用!$C$7*V$3+職員設定用!$C$8&gt;=職員設定用!$C$10,職員設定用!$C$10,職員設定用!$C$5*$C6*100+職員設定用!$C$7*V$3+職員設定用!$C$8)
+IF(職員設定用!$D$5*$C6*100+職員設定用!$D$7*V$3+職員設定用!$D$8&gt;=職員設定用!$D$10,職員設定用!$D$10,職員設定用!$D$5*$C6*100+職員設定用!$D$7*V$3+職員設定用!$D$8)
+IF(職員設定用!$E$5*$C6*100+職員設定用!$E$7*V$3+職員設定用!$E$8+職員設定用!$E$9*V$3&gt;=職員設定用!$E$10,職員設定用!$E$10,職員設定用!$E$5*$C6*100+職員設定用!$E$7*V$3+職員設定用!$E$8+職員設定用!$E$9*V$3)</f>
        <v>607574</v>
      </c>
      <c r="W6" s="215">
        <f t="shared" ref="W6" si="8">ROUNDUP(V6/12,-2)</f>
        <v>50700</v>
      </c>
    </row>
    <row r="7" spans="2:23" ht="22.5" customHeight="1">
      <c r="B7" s="212">
        <v>100</v>
      </c>
      <c r="C7" s="218">
        <f>IF(B7-職員設定用!$B$19/10000&gt;0,B7-職員設定用!$B$19/10000,0)</f>
        <v>57</v>
      </c>
      <c r="D7" s="207">
        <f>IF(職員設定用!$B$5*$C7*100+職員設定用!$B$7*D$3+職員設定用!$B$8&gt;=職員設定用!$B$10,職員設定用!$B$10,職員設定用!$B$5*$C7*100+職員設定用!$B$7*D$3+職員設定用!$B$8)
+IF(職員設定用!$C$5*$C7*100+職員設定用!$C$7*D$3+職員設定用!$C$8&gt;=職員設定用!$C$10,職員設定用!$C$10,職員設定用!$C$5*$C7*100+職員設定用!$C$7*D$3+職員設定用!$C$8)
+IF(職員設定用!$D$5*$C7*100+職員設定用!$D$7*D$3+職員設定用!$D$8&gt;=職員設定用!$D$10,職員設定用!$D$10,職員設定用!$D$5*$C7*100+職員設定用!$D$7*D$3+職員設定用!$D$8)
+IF(職員設定用!$E$5*$C7*100+職員設定用!$E$7*D$3+職員設定用!$E$8+職員設定用!$E$9*D$3&gt;=職員設定用!$E$10,職員設定用!$E$10,職員設定用!$E$5*$C7*100+職員設定用!$E$7*D$3+職員設定用!$E$8+職員設定用!$E$9*D$3)</f>
        <v>164974</v>
      </c>
      <c r="E7" s="215">
        <f t="shared" si="0"/>
        <v>13800</v>
      </c>
      <c r="F7" s="207">
        <f>IF(職員設定用!$B$5*$C7*100+職員設定用!$B$7*F$3+職員設定用!$B$8&gt;=職員設定用!$B$10,職員設定用!$B$10,職員設定用!$B$5*$C7*100+職員設定用!$B$7*F$3+職員設定用!$B$8)
+IF(職員設定用!$C$5*$C7*100+職員設定用!$C$7*F$3+職員設定用!$C$8&gt;=職員設定用!$C$10,職員設定用!$C$10,職員設定用!$C$5*$C7*100+職員設定用!$C$7*F$3+職員設定用!$C$8)
+IF(職員設定用!$D$5*$C7*100+職員設定用!$D$7*F$3+職員設定用!$D$8&gt;=職員設定用!$D$10,職員設定用!$D$10,職員設定用!$D$5*$C7*100+職員設定用!$D$7*F$3+職員設定用!$D$8)
+IF(職員設定用!$E$5*$C7*100+職員設定用!$E$7*F$3+職員設定用!$E$8+職員設定用!$E$9*F$3&gt;=職員設定用!$E$10,職員設定用!$E$10,職員設定用!$E$5*$C7*100+職員設定用!$E$7*F$3+職員設定用!$E$8+職員設定用!$E$9*F$3)</f>
        <v>221274</v>
      </c>
      <c r="G7" s="215">
        <f t="shared" si="0"/>
        <v>18500</v>
      </c>
      <c r="H7" s="207">
        <f>IF(職員設定用!$B$5*$C7*100+職員設定用!$B$7*H$3+職員設定用!$B$8&gt;=職員設定用!$B$10,職員設定用!$B$10,職員設定用!$B$5*$C7*100+職員設定用!$B$7*H$3+職員設定用!$B$8)
+IF(職員設定用!$C$5*$C7*100+職員設定用!$C$7*H$3+職員設定用!$C$8&gt;=職員設定用!$C$10,職員設定用!$C$10,職員設定用!$C$5*$C7*100+職員設定用!$C$7*H$3+職員設定用!$C$8)
+IF(職員設定用!$D$5*$C7*100+職員設定用!$D$7*H$3+職員設定用!$D$8&gt;=職員設定用!$D$10,職員設定用!$D$10,職員設定用!$D$5*$C7*100+職員設定用!$D$7*H$3+職員設定用!$D$8)
+IF(職員設定用!$E$5*$C7*100+職員設定用!$E$7*H$3+職員設定用!$E$8+職員設定用!$E$9*H$3&gt;=職員設定用!$E$10,職員設定用!$E$10,職員設定用!$E$5*$C7*100+職員設定用!$E$7*H$3+職員設定用!$E$8+職員設定用!$E$9*H$3)</f>
        <v>277574</v>
      </c>
      <c r="I7" s="215">
        <f t="shared" ref="I7" si="9">ROUNDUP(H7/12,-2)</f>
        <v>23200</v>
      </c>
      <c r="J7" s="207">
        <f>IF(職員設定用!$B$5*$C7*100+職員設定用!$B$7*J$3+職員設定用!$B$8&gt;=職員設定用!$B$10,職員設定用!$B$10,職員設定用!$B$5*$C7*100+職員設定用!$B$7*J$3+職員設定用!$B$8)
+IF(職員設定用!$C$5*$C7*100+職員設定用!$C$7*J$3+職員設定用!$C$8&gt;=職員設定用!$C$10,職員設定用!$C$10,職員設定用!$C$5*$C7*100+職員設定用!$C$7*J$3+職員設定用!$C$8)
+IF(職員設定用!$D$5*$C7*100+職員設定用!$D$7*J$3+職員設定用!$D$8&gt;=職員設定用!$D$10,職員設定用!$D$10,職員設定用!$D$5*$C7*100+職員設定用!$D$7*J$3+職員設定用!$D$8)
+IF(職員設定用!$E$5*$C7*100+職員設定用!$E$7*J$3+職員設定用!$E$8+職員設定用!$E$9*J$3&gt;=職員設定用!$E$10,職員設定用!$E$10,職員設定用!$E$5*$C7*100+職員設定用!$E$7*J$3+職員設定用!$E$8+職員設定用!$E$9*J$3)</f>
        <v>333874</v>
      </c>
      <c r="K7" s="215">
        <f t="shared" ref="K7" si="10">ROUNDUP(J7/12,-2)</f>
        <v>27900</v>
      </c>
      <c r="L7" s="207">
        <f>IF(職員設定用!$B$5*$C7*100+職員設定用!$B$7*L$3+職員設定用!$B$8&gt;=職員設定用!$B$10,職員設定用!$B$10,職員設定用!$B$5*$C7*100+職員設定用!$B$7*L$3+職員設定用!$B$8)
+IF(職員設定用!$C$5*$C7*100+職員設定用!$C$7*L$3+職員設定用!$C$8&gt;=職員設定用!$C$10,職員設定用!$C$10,職員設定用!$C$5*$C7*100+職員設定用!$C$7*L$3+職員設定用!$C$8)
+IF(職員設定用!$D$5*$C7*100+職員設定用!$D$7*L$3+職員設定用!$D$8&gt;=職員設定用!$D$10,職員設定用!$D$10,職員設定用!$D$5*$C7*100+職員設定用!$D$7*L$3+職員設定用!$D$8)
+IF(職員設定用!$E$5*$C7*100+職員設定用!$E$7*L$3+職員設定用!$E$8+職員設定用!$E$9*L$3&gt;=職員設定用!$E$10,職員設定用!$E$10,職員設定用!$E$5*$C7*100+職員設定用!$E$7*L$3+職員設定用!$E$8+職員設定用!$E$9*L$3)</f>
        <v>390174</v>
      </c>
      <c r="M7" s="215">
        <f t="shared" ref="M7" si="11">ROUNDUP(L7/12,-2)</f>
        <v>32600</v>
      </c>
      <c r="N7" s="207">
        <f>IF(職員設定用!$B$5*$C7*100+職員設定用!$B$7*N$3+職員設定用!$B$8&gt;=職員設定用!$B$10,職員設定用!$B$10,職員設定用!$B$5*$C7*100+職員設定用!$B$7*N$3+職員設定用!$B$8)
+IF(職員設定用!$C$5*$C7*100+職員設定用!$C$7*N$3+職員設定用!$C$8&gt;=職員設定用!$C$10,職員設定用!$C$10,職員設定用!$C$5*$C7*100+職員設定用!$C$7*N$3+職員設定用!$C$8)
+IF(職員設定用!$D$5*$C7*100+職員設定用!$D$7*N$3+職員設定用!$D$8&gt;=職員設定用!$D$10,職員設定用!$D$10,職員設定用!$D$5*$C7*100+職員設定用!$D$7*N$3+職員設定用!$D$8)
+IF(職員設定用!$E$5*$C7*100+職員設定用!$E$7*N$3+職員設定用!$E$8+職員設定用!$E$9*N$3&gt;=職員設定用!$E$10,職員設定用!$E$10,職員設定用!$E$5*$C7*100+職員設定用!$E$7*N$3+職員設定用!$E$8+職員設定用!$E$9*N$3)</f>
        <v>446474</v>
      </c>
      <c r="O7" s="215">
        <f t="shared" ref="O7" si="12">ROUNDUP(N7/12,-2)</f>
        <v>37300</v>
      </c>
      <c r="P7" s="207">
        <f>IF(職員設定用!$B$5*$C7*100+職員設定用!$B$7*P$3+職員設定用!$B$8&gt;=職員設定用!$B$10,職員設定用!$B$10,職員設定用!$B$5*$C7*100+職員設定用!$B$7*P$3+職員設定用!$B$8)
+IF(職員設定用!$C$5*$C7*100+職員設定用!$C$7*P$3+職員設定用!$C$8&gt;=職員設定用!$C$10,職員設定用!$C$10,職員設定用!$C$5*$C7*100+職員設定用!$C$7*P$3+職員設定用!$C$8)
+IF(職員設定用!$D$5*$C7*100+職員設定用!$D$7*P$3+職員設定用!$D$8&gt;=職員設定用!$D$10,職員設定用!$D$10,職員設定用!$D$5*$C7*100+職員設定用!$D$7*P$3+職員設定用!$D$8)
+IF(職員設定用!$E$5*$C7*100+職員設定用!$E$7*P$3+職員設定用!$E$8+職員設定用!$E$9*P$3&gt;=職員設定用!$E$10,職員設定用!$E$10,職員設定用!$E$5*$C7*100+職員設定用!$E$7*P$3+職員設定用!$E$8+職員設定用!$E$9*P$3)</f>
        <v>502774</v>
      </c>
      <c r="Q7" s="215">
        <f t="shared" ref="Q7" si="13">ROUNDUP(P7/12,-2)</f>
        <v>41900</v>
      </c>
      <c r="R7" s="207">
        <f>IF(職員設定用!$B$5*$C7*100+職員設定用!$B$7*R$3+職員設定用!$B$8&gt;=職員設定用!$B$10,職員設定用!$B$10,職員設定用!$B$5*$C7*100+職員設定用!$B$7*R$3+職員設定用!$B$8)
+IF(職員設定用!$C$5*$C7*100+職員設定用!$C$7*R$3+職員設定用!$C$8&gt;=職員設定用!$C$10,職員設定用!$C$10,職員設定用!$C$5*$C7*100+職員設定用!$C$7*R$3+職員設定用!$C$8)
+IF(職員設定用!$D$5*$C7*100+職員設定用!$D$7*R$3+職員設定用!$D$8&gt;=職員設定用!$D$10,職員設定用!$D$10,職員設定用!$D$5*$C7*100+職員設定用!$D$7*R$3+職員設定用!$D$8)
+IF(職員設定用!$E$5*$C7*100+職員設定用!$E$7*R$3+職員設定用!$E$8+職員設定用!$E$9*R$3&gt;=職員設定用!$E$10,職員設定用!$E$10,職員設定用!$E$5*$C7*100+職員設定用!$E$7*R$3+職員設定用!$E$8+職員設定用!$E$9*R$3)</f>
        <v>559074</v>
      </c>
      <c r="S7" s="215">
        <f t="shared" ref="S7" si="14">ROUNDUP(R7/12,-2)</f>
        <v>46600</v>
      </c>
      <c r="T7" s="207">
        <f>IF(職員設定用!$B$5*$C7*100+職員設定用!$B$7*T$3+職員設定用!$B$8&gt;=職員設定用!$B$10,職員設定用!$B$10,職員設定用!$B$5*$C7*100+職員設定用!$B$7*T$3+職員設定用!$B$8)
+IF(職員設定用!$C$5*$C7*100+職員設定用!$C$7*T$3+職員設定用!$C$8&gt;=職員設定用!$C$10,職員設定用!$C$10,職員設定用!$C$5*$C7*100+職員設定用!$C$7*T$3+職員設定用!$C$8)
+IF(職員設定用!$D$5*$C7*100+職員設定用!$D$7*T$3+職員設定用!$D$8&gt;=職員設定用!$D$10,職員設定用!$D$10,職員設定用!$D$5*$C7*100+職員設定用!$D$7*T$3+職員設定用!$D$8)
+IF(職員設定用!$E$5*$C7*100+職員設定用!$E$7*T$3+職員設定用!$E$8+職員設定用!$E$9*T$3&gt;=職員設定用!$E$10,職員設定用!$E$10,職員設定用!$E$5*$C7*100+職員設定用!$E$7*T$3+職員設定用!$E$8+職員設定用!$E$9*T$3)</f>
        <v>615374</v>
      </c>
      <c r="U7" s="215">
        <f t="shared" ref="U7" si="15">ROUNDUP(T7/12,-2)</f>
        <v>51300</v>
      </c>
      <c r="V7" s="207">
        <f>IF(職員設定用!$B$5*$C7*100+職員設定用!$B$7*V$3+職員設定用!$B$8&gt;=職員設定用!$B$10,職員設定用!$B$10,職員設定用!$B$5*$C7*100+職員設定用!$B$7*V$3+職員設定用!$B$8)
+IF(職員設定用!$C$5*$C7*100+職員設定用!$C$7*V$3+職員設定用!$C$8&gt;=職員設定用!$C$10,職員設定用!$C$10,職員設定用!$C$5*$C7*100+職員設定用!$C$7*V$3+職員設定用!$C$8)
+IF(職員設定用!$D$5*$C7*100+職員設定用!$D$7*V$3+職員設定用!$D$8&gt;=職員設定用!$D$10,職員設定用!$D$10,職員設定用!$D$5*$C7*100+職員設定用!$D$7*V$3+職員設定用!$D$8)
+IF(職員設定用!$E$5*$C7*100+職員設定用!$E$7*V$3+職員設定用!$E$8+職員設定用!$E$9*V$3&gt;=職員設定用!$E$10,職員設定用!$E$10,職員設定用!$E$5*$C7*100+職員設定用!$E$7*V$3+職員設定用!$E$8+職員設定用!$E$9*V$3)</f>
        <v>671674</v>
      </c>
      <c r="W7" s="215">
        <f t="shared" ref="W7" si="16">ROUNDUP(V7/12,-2)</f>
        <v>56000</v>
      </c>
    </row>
    <row r="8" spans="2:23" ht="22.5" customHeight="1">
      <c r="B8" s="212">
        <v>150</v>
      </c>
      <c r="C8" s="218">
        <f>IF(B8-職員設定用!$B$19/10000&gt;0,B8-職員設定用!$B$19/10000,0)</f>
        <v>107</v>
      </c>
      <c r="D8" s="207">
        <f>IF(職員設定用!$B$5*$C8*100+職員設定用!$B$7*D$3+職員設定用!$B$8&gt;=職員設定用!$B$10,職員設定用!$B$10,職員設定用!$B$5*$C8*100+職員設定用!$B$7*D$3+職員設定用!$B$8)
+IF(職員設定用!$C$5*$C8*100+職員設定用!$C$7*D$3+職員設定用!$C$8&gt;=職員設定用!$C$10,職員設定用!$C$10,職員設定用!$C$5*$C8*100+職員設定用!$C$7*D$3+職員設定用!$C$8)
+IF(職員設定用!$D$5*$C8*100+職員設定用!$D$7*D$3+職員設定用!$D$8&gt;=職員設定用!$D$10,職員設定用!$D$10,職員設定用!$D$5*$C8*100+職員設定用!$D$7*D$3+職員設定用!$D$8)
+IF(職員設定用!$E$5*$C8*100+職員設定用!$E$7*D$3+職員設定用!$E$8+職員設定用!$E$9*D$3&gt;=職員設定用!$E$10,職員設定用!$E$10,職員設定用!$E$5*$C8*100+職員設定用!$E$7*D$3+職員設定用!$E$8+職員設定用!$E$9*D$3)</f>
        <v>229074</v>
      </c>
      <c r="E8" s="215">
        <f t="shared" si="0"/>
        <v>19100</v>
      </c>
      <c r="F8" s="207">
        <f>IF(職員設定用!$B$5*$C8*100+職員設定用!$B$7*F$3+職員設定用!$B$8&gt;=職員設定用!$B$10,職員設定用!$B$10,職員設定用!$B$5*$C8*100+職員設定用!$B$7*F$3+職員設定用!$B$8)
+IF(職員設定用!$C$5*$C8*100+職員設定用!$C$7*F$3+職員設定用!$C$8&gt;=職員設定用!$C$10,職員設定用!$C$10,職員設定用!$C$5*$C8*100+職員設定用!$C$7*F$3+職員設定用!$C$8)
+IF(職員設定用!$D$5*$C8*100+職員設定用!$D$7*F$3+職員設定用!$D$8&gt;=職員設定用!$D$10,職員設定用!$D$10,職員設定用!$D$5*$C8*100+職員設定用!$D$7*F$3+職員設定用!$D$8)
+IF(職員設定用!$E$5*$C8*100+職員設定用!$E$7*F$3+職員設定用!$E$8+職員設定用!$E$9*F$3&gt;=職員設定用!$E$10,職員設定用!$E$10,職員設定用!$E$5*$C8*100+職員設定用!$E$7*F$3+職員設定用!$E$8+職員設定用!$E$9*F$3)</f>
        <v>285374</v>
      </c>
      <c r="G8" s="215">
        <f t="shared" si="0"/>
        <v>23800</v>
      </c>
      <c r="H8" s="207">
        <f>IF(職員設定用!$B$5*$C8*100+職員設定用!$B$7*H$3+職員設定用!$B$8&gt;=職員設定用!$B$10,職員設定用!$B$10,職員設定用!$B$5*$C8*100+職員設定用!$B$7*H$3+職員設定用!$B$8)
+IF(職員設定用!$C$5*$C8*100+職員設定用!$C$7*H$3+職員設定用!$C$8&gt;=職員設定用!$C$10,職員設定用!$C$10,職員設定用!$C$5*$C8*100+職員設定用!$C$7*H$3+職員設定用!$C$8)
+IF(職員設定用!$D$5*$C8*100+職員設定用!$D$7*H$3+職員設定用!$D$8&gt;=職員設定用!$D$10,職員設定用!$D$10,職員設定用!$D$5*$C8*100+職員設定用!$D$7*H$3+職員設定用!$D$8)
+IF(職員設定用!$E$5*$C8*100+職員設定用!$E$7*H$3+職員設定用!$E$8+職員設定用!$E$9*H$3&gt;=職員設定用!$E$10,職員設定用!$E$10,職員設定用!$E$5*$C8*100+職員設定用!$E$7*H$3+職員設定用!$E$8+職員設定用!$E$9*H$3)</f>
        <v>341674</v>
      </c>
      <c r="I8" s="215">
        <f t="shared" ref="I8" si="17">ROUNDUP(H8/12,-2)</f>
        <v>28500</v>
      </c>
      <c r="J8" s="207">
        <f>IF(職員設定用!$B$5*$C8*100+職員設定用!$B$7*J$3+職員設定用!$B$8&gt;=職員設定用!$B$10,職員設定用!$B$10,職員設定用!$B$5*$C8*100+職員設定用!$B$7*J$3+職員設定用!$B$8)
+IF(職員設定用!$C$5*$C8*100+職員設定用!$C$7*J$3+職員設定用!$C$8&gt;=職員設定用!$C$10,職員設定用!$C$10,職員設定用!$C$5*$C8*100+職員設定用!$C$7*J$3+職員設定用!$C$8)
+IF(職員設定用!$D$5*$C8*100+職員設定用!$D$7*J$3+職員設定用!$D$8&gt;=職員設定用!$D$10,職員設定用!$D$10,職員設定用!$D$5*$C8*100+職員設定用!$D$7*J$3+職員設定用!$D$8)
+IF(職員設定用!$E$5*$C8*100+職員設定用!$E$7*J$3+職員設定用!$E$8+職員設定用!$E$9*J$3&gt;=職員設定用!$E$10,職員設定用!$E$10,職員設定用!$E$5*$C8*100+職員設定用!$E$7*J$3+職員設定用!$E$8+職員設定用!$E$9*J$3)</f>
        <v>397974</v>
      </c>
      <c r="K8" s="215">
        <f t="shared" ref="K8" si="18">ROUNDUP(J8/12,-2)</f>
        <v>33200</v>
      </c>
      <c r="L8" s="207">
        <f>IF(職員設定用!$B$5*$C8*100+職員設定用!$B$7*L$3+職員設定用!$B$8&gt;=職員設定用!$B$10,職員設定用!$B$10,職員設定用!$B$5*$C8*100+職員設定用!$B$7*L$3+職員設定用!$B$8)
+IF(職員設定用!$C$5*$C8*100+職員設定用!$C$7*L$3+職員設定用!$C$8&gt;=職員設定用!$C$10,職員設定用!$C$10,職員設定用!$C$5*$C8*100+職員設定用!$C$7*L$3+職員設定用!$C$8)
+IF(職員設定用!$D$5*$C8*100+職員設定用!$D$7*L$3+職員設定用!$D$8&gt;=職員設定用!$D$10,職員設定用!$D$10,職員設定用!$D$5*$C8*100+職員設定用!$D$7*L$3+職員設定用!$D$8)
+IF(職員設定用!$E$5*$C8*100+職員設定用!$E$7*L$3+職員設定用!$E$8+職員設定用!$E$9*L$3&gt;=職員設定用!$E$10,職員設定用!$E$10,職員設定用!$E$5*$C8*100+職員設定用!$E$7*L$3+職員設定用!$E$8+職員設定用!$E$9*L$3)</f>
        <v>454274</v>
      </c>
      <c r="M8" s="215">
        <f t="shared" ref="M8" si="19">ROUNDUP(L8/12,-2)</f>
        <v>37900</v>
      </c>
      <c r="N8" s="207">
        <f>IF(職員設定用!$B$5*$C8*100+職員設定用!$B$7*N$3+職員設定用!$B$8&gt;=職員設定用!$B$10,職員設定用!$B$10,職員設定用!$B$5*$C8*100+職員設定用!$B$7*N$3+職員設定用!$B$8)
+IF(職員設定用!$C$5*$C8*100+職員設定用!$C$7*N$3+職員設定用!$C$8&gt;=職員設定用!$C$10,職員設定用!$C$10,職員設定用!$C$5*$C8*100+職員設定用!$C$7*N$3+職員設定用!$C$8)
+IF(職員設定用!$D$5*$C8*100+職員設定用!$D$7*N$3+職員設定用!$D$8&gt;=職員設定用!$D$10,職員設定用!$D$10,職員設定用!$D$5*$C8*100+職員設定用!$D$7*N$3+職員設定用!$D$8)
+IF(職員設定用!$E$5*$C8*100+職員設定用!$E$7*N$3+職員設定用!$E$8+職員設定用!$E$9*N$3&gt;=職員設定用!$E$10,職員設定用!$E$10,職員設定用!$E$5*$C8*100+職員設定用!$E$7*N$3+職員設定用!$E$8+職員設定用!$E$9*N$3)</f>
        <v>510574</v>
      </c>
      <c r="O8" s="215">
        <f t="shared" ref="O8" si="20">ROUNDUP(N8/12,-2)</f>
        <v>42600</v>
      </c>
      <c r="P8" s="207">
        <f>IF(職員設定用!$B$5*$C8*100+職員設定用!$B$7*P$3+職員設定用!$B$8&gt;=職員設定用!$B$10,職員設定用!$B$10,職員設定用!$B$5*$C8*100+職員設定用!$B$7*P$3+職員設定用!$B$8)
+IF(職員設定用!$C$5*$C8*100+職員設定用!$C$7*P$3+職員設定用!$C$8&gt;=職員設定用!$C$10,職員設定用!$C$10,職員設定用!$C$5*$C8*100+職員設定用!$C$7*P$3+職員設定用!$C$8)
+IF(職員設定用!$D$5*$C8*100+職員設定用!$D$7*P$3+職員設定用!$D$8&gt;=職員設定用!$D$10,職員設定用!$D$10,職員設定用!$D$5*$C8*100+職員設定用!$D$7*P$3+職員設定用!$D$8)
+IF(職員設定用!$E$5*$C8*100+職員設定用!$E$7*P$3+職員設定用!$E$8+職員設定用!$E$9*P$3&gt;=職員設定用!$E$10,職員設定用!$E$10,職員設定用!$E$5*$C8*100+職員設定用!$E$7*P$3+職員設定用!$E$8+職員設定用!$E$9*P$3)</f>
        <v>566874</v>
      </c>
      <c r="Q8" s="215">
        <f t="shared" ref="Q8" si="21">ROUNDUP(P8/12,-2)</f>
        <v>47300</v>
      </c>
      <c r="R8" s="207">
        <f>IF(職員設定用!$B$5*$C8*100+職員設定用!$B$7*R$3+職員設定用!$B$8&gt;=職員設定用!$B$10,職員設定用!$B$10,職員設定用!$B$5*$C8*100+職員設定用!$B$7*R$3+職員設定用!$B$8)
+IF(職員設定用!$C$5*$C8*100+職員設定用!$C$7*R$3+職員設定用!$C$8&gt;=職員設定用!$C$10,職員設定用!$C$10,職員設定用!$C$5*$C8*100+職員設定用!$C$7*R$3+職員設定用!$C$8)
+IF(職員設定用!$D$5*$C8*100+職員設定用!$D$7*R$3+職員設定用!$D$8&gt;=職員設定用!$D$10,職員設定用!$D$10,職員設定用!$D$5*$C8*100+職員設定用!$D$7*R$3+職員設定用!$D$8)
+IF(職員設定用!$E$5*$C8*100+職員設定用!$E$7*R$3+職員設定用!$E$8+職員設定用!$E$9*R$3&gt;=職員設定用!$E$10,職員設定用!$E$10,職員設定用!$E$5*$C8*100+職員設定用!$E$7*R$3+職員設定用!$E$8+職員設定用!$E$9*R$3)</f>
        <v>623174</v>
      </c>
      <c r="S8" s="215">
        <f t="shared" ref="S8" si="22">ROUNDUP(R8/12,-2)</f>
        <v>52000</v>
      </c>
      <c r="T8" s="207">
        <f>IF(職員設定用!$B$5*$C8*100+職員設定用!$B$7*T$3+職員設定用!$B$8&gt;=職員設定用!$B$10,職員設定用!$B$10,職員設定用!$B$5*$C8*100+職員設定用!$B$7*T$3+職員設定用!$B$8)
+IF(職員設定用!$C$5*$C8*100+職員設定用!$C$7*T$3+職員設定用!$C$8&gt;=職員設定用!$C$10,職員設定用!$C$10,職員設定用!$C$5*$C8*100+職員設定用!$C$7*T$3+職員設定用!$C$8)
+IF(職員設定用!$D$5*$C8*100+職員設定用!$D$7*T$3+職員設定用!$D$8&gt;=職員設定用!$D$10,職員設定用!$D$10,職員設定用!$D$5*$C8*100+職員設定用!$D$7*T$3+職員設定用!$D$8)
+IF(職員設定用!$E$5*$C8*100+職員設定用!$E$7*T$3+職員設定用!$E$8+職員設定用!$E$9*T$3&gt;=職員設定用!$E$10,職員設定用!$E$10,職員設定用!$E$5*$C8*100+職員設定用!$E$7*T$3+職員設定用!$E$8+職員設定用!$E$9*T$3)</f>
        <v>679474</v>
      </c>
      <c r="U8" s="215">
        <f t="shared" ref="U8" si="23">ROUNDUP(T8/12,-2)</f>
        <v>56700</v>
      </c>
      <c r="V8" s="207">
        <f>IF(職員設定用!$B$5*$C8*100+職員設定用!$B$7*V$3+職員設定用!$B$8&gt;=職員設定用!$B$10,職員設定用!$B$10,職員設定用!$B$5*$C8*100+職員設定用!$B$7*V$3+職員設定用!$B$8)
+IF(職員設定用!$C$5*$C8*100+職員設定用!$C$7*V$3+職員設定用!$C$8&gt;=職員設定用!$C$10,職員設定用!$C$10,職員設定用!$C$5*$C8*100+職員設定用!$C$7*V$3+職員設定用!$C$8)
+IF(職員設定用!$D$5*$C8*100+職員設定用!$D$7*V$3+職員設定用!$D$8&gt;=職員設定用!$D$10,職員設定用!$D$10,職員設定用!$D$5*$C8*100+職員設定用!$D$7*V$3+職員設定用!$D$8)
+IF(職員設定用!$E$5*$C8*100+職員設定用!$E$7*V$3+職員設定用!$E$8+職員設定用!$E$9*V$3&gt;=職員設定用!$E$10,職員設定用!$E$10,職員設定用!$E$5*$C8*100+職員設定用!$E$7*V$3+職員設定用!$E$8+職員設定用!$E$9*V$3)</f>
        <v>735774</v>
      </c>
      <c r="W8" s="215">
        <f t="shared" ref="W8" si="24">ROUNDUP(V8/12,-2)</f>
        <v>61400</v>
      </c>
    </row>
    <row r="9" spans="2:23" ht="22.5" customHeight="1">
      <c r="B9" s="212">
        <v>200</v>
      </c>
      <c r="C9" s="218">
        <f>IF(B9-職員設定用!$B$19/10000&gt;0,B9-職員設定用!$B$19/10000,0)</f>
        <v>157</v>
      </c>
      <c r="D9" s="207">
        <f>IF(職員設定用!$B$5*$C9*100+職員設定用!$B$7*D$3+職員設定用!$B$8&gt;=職員設定用!$B$10,職員設定用!$B$10,職員設定用!$B$5*$C9*100+職員設定用!$B$7*D$3+職員設定用!$B$8)
+IF(職員設定用!$C$5*$C9*100+職員設定用!$C$7*D$3+職員設定用!$C$8&gt;=職員設定用!$C$10,職員設定用!$C$10,職員設定用!$C$5*$C9*100+職員設定用!$C$7*D$3+職員設定用!$C$8)
+IF(職員設定用!$D$5*$C9*100+職員設定用!$D$7*D$3+職員設定用!$D$8&gt;=職員設定用!$D$10,職員設定用!$D$10,職員設定用!$D$5*$C9*100+職員設定用!$D$7*D$3+職員設定用!$D$8)
+IF(職員設定用!$E$5*$C9*100+職員設定用!$E$7*D$3+職員設定用!$E$8+職員設定用!$E$9*D$3&gt;=職員設定用!$E$10,職員設定用!$E$10,職員設定用!$E$5*$C9*100+職員設定用!$E$7*D$3+職員設定用!$E$8+職員設定用!$E$9*D$3)</f>
        <v>293174</v>
      </c>
      <c r="E9" s="215">
        <f t="shared" si="0"/>
        <v>24500</v>
      </c>
      <c r="F9" s="207">
        <f>IF(職員設定用!$B$5*$C9*100+職員設定用!$B$7*F$3+職員設定用!$B$8&gt;=職員設定用!$B$10,職員設定用!$B$10,職員設定用!$B$5*$C9*100+職員設定用!$B$7*F$3+職員設定用!$B$8)
+IF(職員設定用!$C$5*$C9*100+職員設定用!$C$7*F$3+職員設定用!$C$8&gt;=職員設定用!$C$10,職員設定用!$C$10,職員設定用!$C$5*$C9*100+職員設定用!$C$7*F$3+職員設定用!$C$8)
+IF(職員設定用!$D$5*$C9*100+職員設定用!$D$7*F$3+職員設定用!$D$8&gt;=職員設定用!$D$10,職員設定用!$D$10,職員設定用!$D$5*$C9*100+職員設定用!$D$7*F$3+職員設定用!$D$8)
+IF(職員設定用!$E$5*$C9*100+職員設定用!$E$7*F$3+職員設定用!$E$8+職員設定用!$E$9*F$3&gt;=職員設定用!$E$10,職員設定用!$E$10,職員設定用!$E$5*$C9*100+職員設定用!$E$7*F$3+職員設定用!$E$8+職員設定用!$E$9*F$3)</f>
        <v>349474</v>
      </c>
      <c r="G9" s="215">
        <f t="shared" si="0"/>
        <v>29200</v>
      </c>
      <c r="H9" s="207">
        <f>IF(職員設定用!$B$5*$C9*100+職員設定用!$B$7*H$3+職員設定用!$B$8&gt;=職員設定用!$B$10,職員設定用!$B$10,職員設定用!$B$5*$C9*100+職員設定用!$B$7*H$3+職員設定用!$B$8)
+IF(職員設定用!$C$5*$C9*100+職員設定用!$C$7*H$3+職員設定用!$C$8&gt;=職員設定用!$C$10,職員設定用!$C$10,職員設定用!$C$5*$C9*100+職員設定用!$C$7*H$3+職員設定用!$C$8)
+IF(職員設定用!$D$5*$C9*100+職員設定用!$D$7*H$3+職員設定用!$D$8&gt;=職員設定用!$D$10,職員設定用!$D$10,職員設定用!$D$5*$C9*100+職員設定用!$D$7*H$3+職員設定用!$D$8)
+IF(職員設定用!$E$5*$C9*100+職員設定用!$E$7*H$3+職員設定用!$E$8+職員設定用!$E$9*H$3&gt;=職員設定用!$E$10,職員設定用!$E$10,職員設定用!$E$5*$C9*100+職員設定用!$E$7*H$3+職員設定用!$E$8+職員設定用!$E$9*H$3)</f>
        <v>405774</v>
      </c>
      <c r="I9" s="215">
        <f t="shared" ref="I9" si="25">ROUNDUP(H9/12,-2)</f>
        <v>33900</v>
      </c>
      <c r="J9" s="207">
        <f>IF(職員設定用!$B$5*$C9*100+職員設定用!$B$7*J$3+職員設定用!$B$8&gt;=職員設定用!$B$10,職員設定用!$B$10,職員設定用!$B$5*$C9*100+職員設定用!$B$7*J$3+職員設定用!$B$8)
+IF(職員設定用!$C$5*$C9*100+職員設定用!$C$7*J$3+職員設定用!$C$8&gt;=職員設定用!$C$10,職員設定用!$C$10,職員設定用!$C$5*$C9*100+職員設定用!$C$7*J$3+職員設定用!$C$8)
+IF(職員設定用!$D$5*$C9*100+職員設定用!$D$7*J$3+職員設定用!$D$8&gt;=職員設定用!$D$10,職員設定用!$D$10,職員設定用!$D$5*$C9*100+職員設定用!$D$7*J$3+職員設定用!$D$8)
+IF(職員設定用!$E$5*$C9*100+職員設定用!$E$7*J$3+職員設定用!$E$8+職員設定用!$E$9*J$3&gt;=職員設定用!$E$10,職員設定用!$E$10,職員設定用!$E$5*$C9*100+職員設定用!$E$7*J$3+職員設定用!$E$8+職員設定用!$E$9*J$3)</f>
        <v>462074</v>
      </c>
      <c r="K9" s="215">
        <f t="shared" ref="K9" si="26">ROUNDUP(J9/12,-2)</f>
        <v>38600</v>
      </c>
      <c r="L9" s="207">
        <f>IF(職員設定用!$B$5*$C9*100+職員設定用!$B$7*L$3+職員設定用!$B$8&gt;=職員設定用!$B$10,職員設定用!$B$10,職員設定用!$B$5*$C9*100+職員設定用!$B$7*L$3+職員設定用!$B$8)
+IF(職員設定用!$C$5*$C9*100+職員設定用!$C$7*L$3+職員設定用!$C$8&gt;=職員設定用!$C$10,職員設定用!$C$10,職員設定用!$C$5*$C9*100+職員設定用!$C$7*L$3+職員設定用!$C$8)
+IF(職員設定用!$D$5*$C9*100+職員設定用!$D$7*L$3+職員設定用!$D$8&gt;=職員設定用!$D$10,職員設定用!$D$10,職員設定用!$D$5*$C9*100+職員設定用!$D$7*L$3+職員設定用!$D$8)
+IF(職員設定用!$E$5*$C9*100+職員設定用!$E$7*L$3+職員設定用!$E$8+職員設定用!$E$9*L$3&gt;=職員設定用!$E$10,職員設定用!$E$10,職員設定用!$E$5*$C9*100+職員設定用!$E$7*L$3+職員設定用!$E$8+職員設定用!$E$9*L$3)</f>
        <v>518374</v>
      </c>
      <c r="M9" s="215">
        <f t="shared" ref="M9" si="27">ROUNDUP(L9/12,-2)</f>
        <v>43200</v>
      </c>
      <c r="N9" s="207">
        <f>IF(職員設定用!$B$5*$C9*100+職員設定用!$B$7*N$3+職員設定用!$B$8&gt;=職員設定用!$B$10,職員設定用!$B$10,職員設定用!$B$5*$C9*100+職員設定用!$B$7*N$3+職員設定用!$B$8)
+IF(職員設定用!$C$5*$C9*100+職員設定用!$C$7*N$3+職員設定用!$C$8&gt;=職員設定用!$C$10,職員設定用!$C$10,職員設定用!$C$5*$C9*100+職員設定用!$C$7*N$3+職員設定用!$C$8)
+IF(職員設定用!$D$5*$C9*100+職員設定用!$D$7*N$3+職員設定用!$D$8&gt;=職員設定用!$D$10,職員設定用!$D$10,職員設定用!$D$5*$C9*100+職員設定用!$D$7*N$3+職員設定用!$D$8)
+IF(職員設定用!$E$5*$C9*100+職員設定用!$E$7*N$3+職員設定用!$E$8+職員設定用!$E$9*N$3&gt;=職員設定用!$E$10,職員設定用!$E$10,職員設定用!$E$5*$C9*100+職員設定用!$E$7*N$3+職員設定用!$E$8+職員設定用!$E$9*N$3)</f>
        <v>574674</v>
      </c>
      <c r="O9" s="215">
        <f t="shared" ref="O9" si="28">ROUNDUP(N9/12,-2)</f>
        <v>47900</v>
      </c>
      <c r="P9" s="207">
        <f>IF(職員設定用!$B$5*$C9*100+職員設定用!$B$7*P$3+職員設定用!$B$8&gt;=職員設定用!$B$10,職員設定用!$B$10,職員設定用!$B$5*$C9*100+職員設定用!$B$7*P$3+職員設定用!$B$8)
+IF(職員設定用!$C$5*$C9*100+職員設定用!$C$7*P$3+職員設定用!$C$8&gt;=職員設定用!$C$10,職員設定用!$C$10,職員設定用!$C$5*$C9*100+職員設定用!$C$7*P$3+職員設定用!$C$8)
+IF(職員設定用!$D$5*$C9*100+職員設定用!$D$7*P$3+職員設定用!$D$8&gt;=職員設定用!$D$10,職員設定用!$D$10,職員設定用!$D$5*$C9*100+職員設定用!$D$7*P$3+職員設定用!$D$8)
+IF(職員設定用!$E$5*$C9*100+職員設定用!$E$7*P$3+職員設定用!$E$8+職員設定用!$E$9*P$3&gt;=職員設定用!$E$10,職員設定用!$E$10,職員設定用!$E$5*$C9*100+職員設定用!$E$7*P$3+職員設定用!$E$8+職員設定用!$E$9*P$3)</f>
        <v>630974</v>
      </c>
      <c r="Q9" s="215">
        <f t="shared" ref="Q9" si="29">ROUNDUP(P9/12,-2)</f>
        <v>52600</v>
      </c>
      <c r="R9" s="207">
        <f>IF(職員設定用!$B$5*$C9*100+職員設定用!$B$7*R$3+職員設定用!$B$8&gt;=職員設定用!$B$10,職員設定用!$B$10,職員設定用!$B$5*$C9*100+職員設定用!$B$7*R$3+職員設定用!$B$8)
+IF(職員設定用!$C$5*$C9*100+職員設定用!$C$7*R$3+職員設定用!$C$8&gt;=職員設定用!$C$10,職員設定用!$C$10,職員設定用!$C$5*$C9*100+職員設定用!$C$7*R$3+職員設定用!$C$8)
+IF(職員設定用!$D$5*$C9*100+職員設定用!$D$7*R$3+職員設定用!$D$8&gt;=職員設定用!$D$10,職員設定用!$D$10,職員設定用!$D$5*$C9*100+職員設定用!$D$7*R$3+職員設定用!$D$8)
+IF(職員設定用!$E$5*$C9*100+職員設定用!$E$7*R$3+職員設定用!$E$8+職員設定用!$E$9*R$3&gt;=職員設定用!$E$10,職員設定用!$E$10,職員設定用!$E$5*$C9*100+職員設定用!$E$7*R$3+職員設定用!$E$8+職員設定用!$E$9*R$3)</f>
        <v>687274</v>
      </c>
      <c r="S9" s="215">
        <f t="shared" ref="S9" si="30">ROUNDUP(R9/12,-2)</f>
        <v>57300</v>
      </c>
      <c r="T9" s="207">
        <f>IF(職員設定用!$B$5*$C9*100+職員設定用!$B$7*T$3+職員設定用!$B$8&gt;=職員設定用!$B$10,職員設定用!$B$10,職員設定用!$B$5*$C9*100+職員設定用!$B$7*T$3+職員設定用!$B$8)
+IF(職員設定用!$C$5*$C9*100+職員設定用!$C$7*T$3+職員設定用!$C$8&gt;=職員設定用!$C$10,職員設定用!$C$10,職員設定用!$C$5*$C9*100+職員設定用!$C$7*T$3+職員設定用!$C$8)
+IF(職員設定用!$D$5*$C9*100+職員設定用!$D$7*T$3+職員設定用!$D$8&gt;=職員設定用!$D$10,職員設定用!$D$10,職員設定用!$D$5*$C9*100+職員設定用!$D$7*T$3+職員設定用!$D$8)
+IF(職員設定用!$E$5*$C9*100+職員設定用!$E$7*T$3+職員設定用!$E$8+職員設定用!$E$9*T$3&gt;=職員設定用!$E$10,職員設定用!$E$10,職員設定用!$E$5*$C9*100+職員設定用!$E$7*T$3+職員設定用!$E$8+職員設定用!$E$9*T$3)</f>
        <v>743574</v>
      </c>
      <c r="U9" s="215">
        <f t="shared" ref="U9" si="31">ROUNDUP(T9/12,-2)</f>
        <v>62000</v>
      </c>
      <c r="V9" s="207">
        <f>IF(職員設定用!$B$5*$C9*100+職員設定用!$B$7*V$3+職員設定用!$B$8&gt;=職員設定用!$B$10,職員設定用!$B$10,職員設定用!$B$5*$C9*100+職員設定用!$B$7*V$3+職員設定用!$B$8)
+IF(職員設定用!$C$5*$C9*100+職員設定用!$C$7*V$3+職員設定用!$C$8&gt;=職員設定用!$C$10,職員設定用!$C$10,職員設定用!$C$5*$C9*100+職員設定用!$C$7*V$3+職員設定用!$C$8)
+IF(職員設定用!$D$5*$C9*100+職員設定用!$D$7*V$3+職員設定用!$D$8&gt;=職員設定用!$D$10,職員設定用!$D$10,職員設定用!$D$5*$C9*100+職員設定用!$D$7*V$3+職員設定用!$D$8)
+IF(職員設定用!$E$5*$C9*100+職員設定用!$E$7*V$3+職員設定用!$E$8+職員設定用!$E$9*V$3&gt;=職員設定用!$E$10,職員設定用!$E$10,職員設定用!$E$5*$C9*100+職員設定用!$E$7*V$3+職員設定用!$E$8+職員設定用!$E$9*V$3)</f>
        <v>799874</v>
      </c>
      <c r="W9" s="215">
        <f t="shared" ref="W9" si="32">ROUNDUP(V9/12,-2)</f>
        <v>66700</v>
      </c>
    </row>
    <row r="10" spans="2:23" ht="22.5" customHeight="1">
      <c r="B10" s="212">
        <v>250</v>
      </c>
      <c r="C10" s="218">
        <f>IF(B10-職員設定用!$B$19/10000&gt;0,B10-職員設定用!$B$19/10000,0)</f>
        <v>207</v>
      </c>
      <c r="D10" s="207">
        <f>IF(職員設定用!$B$5*$C10*100+職員設定用!$B$7*D$3+職員設定用!$B$8&gt;=職員設定用!$B$10,職員設定用!$B$10,職員設定用!$B$5*$C10*100+職員設定用!$B$7*D$3+職員設定用!$B$8)
+IF(職員設定用!$C$5*$C10*100+職員設定用!$C$7*D$3+職員設定用!$C$8&gt;=職員設定用!$C$10,職員設定用!$C$10,職員設定用!$C$5*$C10*100+職員設定用!$C$7*D$3+職員設定用!$C$8)
+IF(職員設定用!$D$5*$C10*100+職員設定用!$D$7*D$3+職員設定用!$D$8&gt;=職員設定用!$D$10,職員設定用!$D$10,職員設定用!$D$5*$C10*100+職員設定用!$D$7*D$3+職員設定用!$D$8)
+IF(職員設定用!$E$5*$C10*100+職員設定用!$E$7*D$3+職員設定用!$E$8+職員設定用!$E$9*D$3&gt;=職員設定用!$E$10,職員設定用!$E$10,職員設定用!$E$5*$C10*100+職員設定用!$E$7*D$3+職員設定用!$E$8+職員設定用!$E$9*D$3)</f>
        <v>357274</v>
      </c>
      <c r="E10" s="215">
        <f t="shared" si="0"/>
        <v>29800</v>
      </c>
      <c r="F10" s="207">
        <f>IF(職員設定用!$B$5*$C10*100+職員設定用!$B$7*F$3+職員設定用!$B$8&gt;=職員設定用!$B$10,職員設定用!$B$10,職員設定用!$B$5*$C10*100+職員設定用!$B$7*F$3+職員設定用!$B$8)
+IF(職員設定用!$C$5*$C10*100+職員設定用!$C$7*F$3+職員設定用!$C$8&gt;=職員設定用!$C$10,職員設定用!$C$10,職員設定用!$C$5*$C10*100+職員設定用!$C$7*F$3+職員設定用!$C$8)
+IF(職員設定用!$D$5*$C10*100+職員設定用!$D$7*F$3+職員設定用!$D$8&gt;=職員設定用!$D$10,職員設定用!$D$10,職員設定用!$D$5*$C10*100+職員設定用!$D$7*F$3+職員設定用!$D$8)
+IF(職員設定用!$E$5*$C10*100+職員設定用!$E$7*F$3+職員設定用!$E$8+職員設定用!$E$9*F$3&gt;=職員設定用!$E$10,職員設定用!$E$10,職員設定用!$E$5*$C10*100+職員設定用!$E$7*F$3+職員設定用!$E$8+職員設定用!$E$9*F$3)</f>
        <v>413574</v>
      </c>
      <c r="G10" s="215">
        <f t="shared" si="0"/>
        <v>34500</v>
      </c>
      <c r="H10" s="207">
        <f>IF(職員設定用!$B$5*$C10*100+職員設定用!$B$7*H$3+職員設定用!$B$8&gt;=職員設定用!$B$10,職員設定用!$B$10,職員設定用!$B$5*$C10*100+職員設定用!$B$7*H$3+職員設定用!$B$8)
+IF(職員設定用!$C$5*$C10*100+職員設定用!$C$7*H$3+職員設定用!$C$8&gt;=職員設定用!$C$10,職員設定用!$C$10,職員設定用!$C$5*$C10*100+職員設定用!$C$7*H$3+職員設定用!$C$8)
+IF(職員設定用!$D$5*$C10*100+職員設定用!$D$7*H$3+職員設定用!$D$8&gt;=職員設定用!$D$10,職員設定用!$D$10,職員設定用!$D$5*$C10*100+職員設定用!$D$7*H$3+職員設定用!$D$8)
+IF(職員設定用!$E$5*$C10*100+職員設定用!$E$7*H$3+職員設定用!$E$8+職員設定用!$E$9*H$3&gt;=職員設定用!$E$10,職員設定用!$E$10,職員設定用!$E$5*$C10*100+職員設定用!$E$7*H$3+職員設定用!$E$8+職員設定用!$E$9*H$3)</f>
        <v>469874</v>
      </c>
      <c r="I10" s="215">
        <f t="shared" ref="I10" si="33">ROUNDUP(H10/12,-2)</f>
        <v>39200</v>
      </c>
      <c r="J10" s="207">
        <f>IF(職員設定用!$B$5*$C10*100+職員設定用!$B$7*J$3+職員設定用!$B$8&gt;=職員設定用!$B$10,職員設定用!$B$10,職員設定用!$B$5*$C10*100+職員設定用!$B$7*J$3+職員設定用!$B$8)
+IF(職員設定用!$C$5*$C10*100+職員設定用!$C$7*J$3+職員設定用!$C$8&gt;=職員設定用!$C$10,職員設定用!$C$10,職員設定用!$C$5*$C10*100+職員設定用!$C$7*J$3+職員設定用!$C$8)
+IF(職員設定用!$D$5*$C10*100+職員設定用!$D$7*J$3+職員設定用!$D$8&gt;=職員設定用!$D$10,職員設定用!$D$10,職員設定用!$D$5*$C10*100+職員設定用!$D$7*J$3+職員設定用!$D$8)
+IF(職員設定用!$E$5*$C10*100+職員設定用!$E$7*J$3+職員設定用!$E$8+職員設定用!$E$9*J$3&gt;=職員設定用!$E$10,職員設定用!$E$10,職員設定用!$E$5*$C10*100+職員設定用!$E$7*J$3+職員設定用!$E$8+職員設定用!$E$9*J$3)</f>
        <v>526174</v>
      </c>
      <c r="K10" s="215">
        <f t="shared" ref="K10" si="34">ROUNDUP(J10/12,-2)</f>
        <v>43900</v>
      </c>
      <c r="L10" s="207">
        <f>IF(職員設定用!$B$5*$C10*100+職員設定用!$B$7*L$3+職員設定用!$B$8&gt;=職員設定用!$B$10,職員設定用!$B$10,職員設定用!$B$5*$C10*100+職員設定用!$B$7*L$3+職員設定用!$B$8)
+IF(職員設定用!$C$5*$C10*100+職員設定用!$C$7*L$3+職員設定用!$C$8&gt;=職員設定用!$C$10,職員設定用!$C$10,職員設定用!$C$5*$C10*100+職員設定用!$C$7*L$3+職員設定用!$C$8)
+IF(職員設定用!$D$5*$C10*100+職員設定用!$D$7*L$3+職員設定用!$D$8&gt;=職員設定用!$D$10,職員設定用!$D$10,職員設定用!$D$5*$C10*100+職員設定用!$D$7*L$3+職員設定用!$D$8)
+IF(職員設定用!$E$5*$C10*100+職員設定用!$E$7*L$3+職員設定用!$E$8+職員設定用!$E$9*L$3&gt;=職員設定用!$E$10,職員設定用!$E$10,職員設定用!$E$5*$C10*100+職員設定用!$E$7*L$3+職員設定用!$E$8+職員設定用!$E$9*L$3)</f>
        <v>582474</v>
      </c>
      <c r="M10" s="215">
        <f t="shared" ref="M10" si="35">ROUNDUP(L10/12,-2)</f>
        <v>48600</v>
      </c>
      <c r="N10" s="207">
        <f>IF(職員設定用!$B$5*$C10*100+職員設定用!$B$7*N$3+職員設定用!$B$8&gt;=職員設定用!$B$10,職員設定用!$B$10,職員設定用!$B$5*$C10*100+職員設定用!$B$7*N$3+職員設定用!$B$8)
+IF(職員設定用!$C$5*$C10*100+職員設定用!$C$7*N$3+職員設定用!$C$8&gt;=職員設定用!$C$10,職員設定用!$C$10,職員設定用!$C$5*$C10*100+職員設定用!$C$7*N$3+職員設定用!$C$8)
+IF(職員設定用!$D$5*$C10*100+職員設定用!$D$7*N$3+職員設定用!$D$8&gt;=職員設定用!$D$10,職員設定用!$D$10,職員設定用!$D$5*$C10*100+職員設定用!$D$7*N$3+職員設定用!$D$8)
+IF(職員設定用!$E$5*$C10*100+職員設定用!$E$7*N$3+職員設定用!$E$8+職員設定用!$E$9*N$3&gt;=職員設定用!$E$10,職員設定用!$E$10,職員設定用!$E$5*$C10*100+職員設定用!$E$7*N$3+職員設定用!$E$8+職員設定用!$E$9*N$3)</f>
        <v>638774</v>
      </c>
      <c r="O10" s="215">
        <f t="shared" ref="O10" si="36">ROUNDUP(N10/12,-2)</f>
        <v>53300</v>
      </c>
      <c r="P10" s="207">
        <f>IF(職員設定用!$B$5*$C10*100+職員設定用!$B$7*P$3+職員設定用!$B$8&gt;=職員設定用!$B$10,職員設定用!$B$10,職員設定用!$B$5*$C10*100+職員設定用!$B$7*P$3+職員設定用!$B$8)
+IF(職員設定用!$C$5*$C10*100+職員設定用!$C$7*P$3+職員設定用!$C$8&gt;=職員設定用!$C$10,職員設定用!$C$10,職員設定用!$C$5*$C10*100+職員設定用!$C$7*P$3+職員設定用!$C$8)
+IF(職員設定用!$D$5*$C10*100+職員設定用!$D$7*P$3+職員設定用!$D$8&gt;=職員設定用!$D$10,職員設定用!$D$10,職員設定用!$D$5*$C10*100+職員設定用!$D$7*P$3+職員設定用!$D$8)
+IF(職員設定用!$E$5*$C10*100+職員設定用!$E$7*P$3+職員設定用!$E$8+職員設定用!$E$9*P$3&gt;=職員設定用!$E$10,職員設定用!$E$10,職員設定用!$E$5*$C10*100+職員設定用!$E$7*P$3+職員設定用!$E$8+職員設定用!$E$9*P$3)</f>
        <v>695074</v>
      </c>
      <c r="Q10" s="215">
        <f t="shared" ref="Q10" si="37">ROUNDUP(P10/12,-2)</f>
        <v>58000</v>
      </c>
      <c r="R10" s="207">
        <f>IF(職員設定用!$B$5*$C10*100+職員設定用!$B$7*R$3+職員設定用!$B$8&gt;=職員設定用!$B$10,職員設定用!$B$10,職員設定用!$B$5*$C10*100+職員設定用!$B$7*R$3+職員設定用!$B$8)
+IF(職員設定用!$C$5*$C10*100+職員設定用!$C$7*R$3+職員設定用!$C$8&gt;=職員設定用!$C$10,職員設定用!$C$10,職員設定用!$C$5*$C10*100+職員設定用!$C$7*R$3+職員設定用!$C$8)
+IF(職員設定用!$D$5*$C10*100+職員設定用!$D$7*R$3+職員設定用!$D$8&gt;=職員設定用!$D$10,職員設定用!$D$10,職員設定用!$D$5*$C10*100+職員設定用!$D$7*R$3+職員設定用!$D$8)
+IF(職員設定用!$E$5*$C10*100+職員設定用!$E$7*R$3+職員設定用!$E$8+職員設定用!$E$9*R$3&gt;=職員設定用!$E$10,職員設定用!$E$10,職員設定用!$E$5*$C10*100+職員設定用!$E$7*R$3+職員設定用!$E$8+職員設定用!$E$9*R$3)</f>
        <v>751374</v>
      </c>
      <c r="S10" s="215">
        <f t="shared" ref="S10" si="38">ROUNDUP(R10/12,-2)</f>
        <v>62700</v>
      </c>
      <c r="T10" s="207">
        <f>IF(職員設定用!$B$5*$C10*100+職員設定用!$B$7*T$3+職員設定用!$B$8&gt;=職員設定用!$B$10,職員設定用!$B$10,職員設定用!$B$5*$C10*100+職員設定用!$B$7*T$3+職員設定用!$B$8)
+IF(職員設定用!$C$5*$C10*100+職員設定用!$C$7*T$3+職員設定用!$C$8&gt;=職員設定用!$C$10,職員設定用!$C$10,職員設定用!$C$5*$C10*100+職員設定用!$C$7*T$3+職員設定用!$C$8)
+IF(職員設定用!$D$5*$C10*100+職員設定用!$D$7*T$3+職員設定用!$D$8&gt;=職員設定用!$D$10,職員設定用!$D$10,職員設定用!$D$5*$C10*100+職員設定用!$D$7*T$3+職員設定用!$D$8)
+IF(職員設定用!$E$5*$C10*100+職員設定用!$E$7*T$3+職員設定用!$E$8+職員設定用!$E$9*T$3&gt;=職員設定用!$E$10,職員設定用!$E$10,職員設定用!$E$5*$C10*100+職員設定用!$E$7*T$3+職員設定用!$E$8+職員設定用!$E$9*T$3)</f>
        <v>807674</v>
      </c>
      <c r="U10" s="215">
        <f t="shared" ref="U10" si="39">ROUNDUP(T10/12,-2)</f>
        <v>67400</v>
      </c>
      <c r="V10" s="207">
        <f>IF(職員設定用!$B$5*$C10*100+職員設定用!$B$7*V$3+職員設定用!$B$8&gt;=職員設定用!$B$10,職員設定用!$B$10,職員設定用!$B$5*$C10*100+職員設定用!$B$7*V$3+職員設定用!$B$8)
+IF(職員設定用!$C$5*$C10*100+職員設定用!$C$7*V$3+職員設定用!$C$8&gt;=職員設定用!$C$10,職員設定用!$C$10,職員設定用!$C$5*$C10*100+職員設定用!$C$7*V$3+職員設定用!$C$8)
+IF(職員設定用!$D$5*$C10*100+職員設定用!$D$7*V$3+職員設定用!$D$8&gt;=職員設定用!$D$10,職員設定用!$D$10,職員設定用!$D$5*$C10*100+職員設定用!$D$7*V$3+職員設定用!$D$8)
+IF(職員設定用!$E$5*$C10*100+職員設定用!$E$7*V$3+職員設定用!$E$8+職員設定用!$E$9*V$3&gt;=職員設定用!$E$10,職員設定用!$E$10,職員設定用!$E$5*$C10*100+職員設定用!$E$7*V$3+職員設定用!$E$8+職員設定用!$E$9*V$3)</f>
        <v>863974</v>
      </c>
      <c r="W10" s="215">
        <f t="shared" ref="W10" si="40">ROUNDUP(V10/12,-2)</f>
        <v>72000</v>
      </c>
    </row>
    <row r="11" spans="2:23" ht="22.5" customHeight="1">
      <c r="B11" s="212">
        <v>300</v>
      </c>
      <c r="C11" s="218">
        <f>IF(B11-職員設定用!$B$19/10000&gt;0,B11-職員設定用!$B$19/10000,0)</f>
        <v>257</v>
      </c>
      <c r="D11" s="207">
        <f>IF(職員設定用!$B$5*$C11*100+職員設定用!$B$7*D$3+職員設定用!$B$8&gt;=職員設定用!$B$10,職員設定用!$B$10,職員設定用!$B$5*$C11*100+職員設定用!$B$7*D$3+職員設定用!$B$8)
+IF(職員設定用!$C$5*$C11*100+職員設定用!$C$7*D$3+職員設定用!$C$8&gt;=職員設定用!$C$10,職員設定用!$C$10,職員設定用!$C$5*$C11*100+職員設定用!$C$7*D$3+職員設定用!$C$8)
+IF(職員設定用!$D$5*$C11*100+職員設定用!$D$7*D$3+職員設定用!$D$8&gt;=職員設定用!$D$10,職員設定用!$D$10,職員設定用!$D$5*$C11*100+職員設定用!$D$7*D$3+職員設定用!$D$8)
+IF(職員設定用!$E$5*$C11*100+職員設定用!$E$7*D$3+職員設定用!$E$8+職員設定用!$E$9*D$3&gt;=職員設定用!$E$10,職員設定用!$E$10,職員設定用!$E$5*$C11*100+職員設定用!$E$7*D$3+職員設定用!$E$8+職員設定用!$E$9*D$3)</f>
        <v>421374</v>
      </c>
      <c r="E11" s="215">
        <f t="shared" si="0"/>
        <v>35200</v>
      </c>
      <c r="F11" s="207">
        <f>IF(職員設定用!$B$5*$C11*100+職員設定用!$B$7*F$3+職員設定用!$B$8&gt;=職員設定用!$B$10,職員設定用!$B$10,職員設定用!$B$5*$C11*100+職員設定用!$B$7*F$3+職員設定用!$B$8)
+IF(職員設定用!$C$5*$C11*100+職員設定用!$C$7*F$3+職員設定用!$C$8&gt;=職員設定用!$C$10,職員設定用!$C$10,職員設定用!$C$5*$C11*100+職員設定用!$C$7*F$3+職員設定用!$C$8)
+IF(職員設定用!$D$5*$C11*100+職員設定用!$D$7*F$3+職員設定用!$D$8&gt;=職員設定用!$D$10,職員設定用!$D$10,職員設定用!$D$5*$C11*100+職員設定用!$D$7*F$3+職員設定用!$D$8)
+IF(職員設定用!$E$5*$C11*100+職員設定用!$E$7*F$3+職員設定用!$E$8+職員設定用!$E$9*F$3&gt;=職員設定用!$E$10,職員設定用!$E$10,職員設定用!$E$5*$C11*100+職員設定用!$E$7*F$3+職員設定用!$E$8+職員設定用!$E$9*F$3)</f>
        <v>477674</v>
      </c>
      <c r="G11" s="215">
        <f t="shared" si="0"/>
        <v>39900</v>
      </c>
      <c r="H11" s="207">
        <f>IF(職員設定用!$B$5*$C11*100+職員設定用!$B$7*H$3+職員設定用!$B$8&gt;=職員設定用!$B$10,職員設定用!$B$10,職員設定用!$B$5*$C11*100+職員設定用!$B$7*H$3+職員設定用!$B$8)
+IF(職員設定用!$C$5*$C11*100+職員設定用!$C$7*H$3+職員設定用!$C$8&gt;=職員設定用!$C$10,職員設定用!$C$10,職員設定用!$C$5*$C11*100+職員設定用!$C$7*H$3+職員設定用!$C$8)
+IF(職員設定用!$D$5*$C11*100+職員設定用!$D$7*H$3+職員設定用!$D$8&gt;=職員設定用!$D$10,職員設定用!$D$10,職員設定用!$D$5*$C11*100+職員設定用!$D$7*H$3+職員設定用!$D$8)
+IF(職員設定用!$E$5*$C11*100+職員設定用!$E$7*H$3+職員設定用!$E$8+職員設定用!$E$9*H$3&gt;=職員設定用!$E$10,職員設定用!$E$10,職員設定用!$E$5*$C11*100+職員設定用!$E$7*H$3+職員設定用!$E$8+職員設定用!$E$9*H$3)</f>
        <v>533974</v>
      </c>
      <c r="I11" s="215">
        <f t="shared" ref="I11" si="41">ROUNDUP(H11/12,-2)</f>
        <v>44500</v>
      </c>
      <c r="J11" s="207">
        <f>IF(職員設定用!$B$5*$C11*100+職員設定用!$B$7*J$3+職員設定用!$B$8&gt;=職員設定用!$B$10,職員設定用!$B$10,職員設定用!$B$5*$C11*100+職員設定用!$B$7*J$3+職員設定用!$B$8)
+IF(職員設定用!$C$5*$C11*100+職員設定用!$C$7*J$3+職員設定用!$C$8&gt;=職員設定用!$C$10,職員設定用!$C$10,職員設定用!$C$5*$C11*100+職員設定用!$C$7*J$3+職員設定用!$C$8)
+IF(職員設定用!$D$5*$C11*100+職員設定用!$D$7*J$3+職員設定用!$D$8&gt;=職員設定用!$D$10,職員設定用!$D$10,職員設定用!$D$5*$C11*100+職員設定用!$D$7*J$3+職員設定用!$D$8)
+IF(職員設定用!$E$5*$C11*100+職員設定用!$E$7*J$3+職員設定用!$E$8+職員設定用!$E$9*J$3&gt;=職員設定用!$E$10,職員設定用!$E$10,職員設定用!$E$5*$C11*100+職員設定用!$E$7*J$3+職員設定用!$E$8+職員設定用!$E$9*J$3)</f>
        <v>590274</v>
      </c>
      <c r="K11" s="215">
        <f t="shared" ref="K11" si="42">ROUNDUP(J11/12,-2)</f>
        <v>49200</v>
      </c>
      <c r="L11" s="207">
        <f>IF(職員設定用!$B$5*$C11*100+職員設定用!$B$7*L$3+職員設定用!$B$8&gt;=職員設定用!$B$10,職員設定用!$B$10,職員設定用!$B$5*$C11*100+職員設定用!$B$7*L$3+職員設定用!$B$8)
+IF(職員設定用!$C$5*$C11*100+職員設定用!$C$7*L$3+職員設定用!$C$8&gt;=職員設定用!$C$10,職員設定用!$C$10,職員設定用!$C$5*$C11*100+職員設定用!$C$7*L$3+職員設定用!$C$8)
+IF(職員設定用!$D$5*$C11*100+職員設定用!$D$7*L$3+職員設定用!$D$8&gt;=職員設定用!$D$10,職員設定用!$D$10,職員設定用!$D$5*$C11*100+職員設定用!$D$7*L$3+職員設定用!$D$8)
+IF(職員設定用!$E$5*$C11*100+職員設定用!$E$7*L$3+職員設定用!$E$8+職員設定用!$E$9*L$3&gt;=職員設定用!$E$10,職員設定用!$E$10,職員設定用!$E$5*$C11*100+職員設定用!$E$7*L$3+職員設定用!$E$8+職員設定用!$E$9*L$3)</f>
        <v>646574</v>
      </c>
      <c r="M11" s="215">
        <f t="shared" ref="M11" si="43">ROUNDUP(L11/12,-2)</f>
        <v>53900</v>
      </c>
      <c r="N11" s="207">
        <f>IF(職員設定用!$B$5*$C11*100+職員設定用!$B$7*N$3+職員設定用!$B$8&gt;=職員設定用!$B$10,職員設定用!$B$10,職員設定用!$B$5*$C11*100+職員設定用!$B$7*N$3+職員設定用!$B$8)
+IF(職員設定用!$C$5*$C11*100+職員設定用!$C$7*N$3+職員設定用!$C$8&gt;=職員設定用!$C$10,職員設定用!$C$10,職員設定用!$C$5*$C11*100+職員設定用!$C$7*N$3+職員設定用!$C$8)
+IF(職員設定用!$D$5*$C11*100+職員設定用!$D$7*N$3+職員設定用!$D$8&gt;=職員設定用!$D$10,職員設定用!$D$10,職員設定用!$D$5*$C11*100+職員設定用!$D$7*N$3+職員設定用!$D$8)
+IF(職員設定用!$E$5*$C11*100+職員設定用!$E$7*N$3+職員設定用!$E$8+職員設定用!$E$9*N$3&gt;=職員設定用!$E$10,職員設定用!$E$10,職員設定用!$E$5*$C11*100+職員設定用!$E$7*N$3+職員設定用!$E$8+職員設定用!$E$9*N$3)</f>
        <v>702874</v>
      </c>
      <c r="O11" s="215">
        <f t="shared" ref="O11" si="44">ROUNDUP(N11/12,-2)</f>
        <v>58600</v>
      </c>
      <c r="P11" s="207">
        <f>IF(職員設定用!$B$5*$C11*100+職員設定用!$B$7*P$3+職員設定用!$B$8&gt;=職員設定用!$B$10,職員設定用!$B$10,職員設定用!$B$5*$C11*100+職員設定用!$B$7*P$3+職員設定用!$B$8)
+IF(職員設定用!$C$5*$C11*100+職員設定用!$C$7*P$3+職員設定用!$C$8&gt;=職員設定用!$C$10,職員設定用!$C$10,職員設定用!$C$5*$C11*100+職員設定用!$C$7*P$3+職員設定用!$C$8)
+IF(職員設定用!$D$5*$C11*100+職員設定用!$D$7*P$3+職員設定用!$D$8&gt;=職員設定用!$D$10,職員設定用!$D$10,職員設定用!$D$5*$C11*100+職員設定用!$D$7*P$3+職員設定用!$D$8)
+IF(職員設定用!$E$5*$C11*100+職員設定用!$E$7*P$3+職員設定用!$E$8+職員設定用!$E$9*P$3&gt;=職員設定用!$E$10,職員設定用!$E$10,職員設定用!$E$5*$C11*100+職員設定用!$E$7*P$3+職員設定用!$E$8+職員設定用!$E$9*P$3)</f>
        <v>759174</v>
      </c>
      <c r="Q11" s="215">
        <f t="shared" ref="Q11" si="45">ROUNDUP(P11/12,-2)</f>
        <v>63300</v>
      </c>
      <c r="R11" s="207">
        <f>IF(職員設定用!$B$5*$C11*100+職員設定用!$B$7*R$3+職員設定用!$B$8&gt;=職員設定用!$B$10,職員設定用!$B$10,職員設定用!$B$5*$C11*100+職員設定用!$B$7*R$3+職員設定用!$B$8)
+IF(職員設定用!$C$5*$C11*100+職員設定用!$C$7*R$3+職員設定用!$C$8&gt;=職員設定用!$C$10,職員設定用!$C$10,職員設定用!$C$5*$C11*100+職員設定用!$C$7*R$3+職員設定用!$C$8)
+IF(職員設定用!$D$5*$C11*100+職員設定用!$D$7*R$3+職員設定用!$D$8&gt;=職員設定用!$D$10,職員設定用!$D$10,職員設定用!$D$5*$C11*100+職員設定用!$D$7*R$3+職員設定用!$D$8)
+IF(職員設定用!$E$5*$C11*100+職員設定用!$E$7*R$3+職員設定用!$E$8+職員設定用!$E$9*R$3&gt;=職員設定用!$E$10,職員設定用!$E$10,職員設定用!$E$5*$C11*100+職員設定用!$E$7*R$3+職員設定用!$E$8+職員設定用!$E$9*R$3)</f>
        <v>815474</v>
      </c>
      <c r="S11" s="215">
        <f t="shared" ref="S11" si="46">ROUNDUP(R11/12,-2)</f>
        <v>68000</v>
      </c>
      <c r="T11" s="207">
        <f>IF(職員設定用!$B$5*$C11*100+職員設定用!$B$7*T$3+職員設定用!$B$8&gt;=職員設定用!$B$10,職員設定用!$B$10,職員設定用!$B$5*$C11*100+職員設定用!$B$7*T$3+職員設定用!$B$8)
+IF(職員設定用!$C$5*$C11*100+職員設定用!$C$7*T$3+職員設定用!$C$8&gt;=職員設定用!$C$10,職員設定用!$C$10,職員設定用!$C$5*$C11*100+職員設定用!$C$7*T$3+職員設定用!$C$8)
+IF(職員設定用!$D$5*$C11*100+職員設定用!$D$7*T$3+職員設定用!$D$8&gt;=職員設定用!$D$10,職員設定用!$D$10,職員設定用!$D$5*$C11*100+職員設定用!$D$7*T$3+職員設定用!$D$8)
+IF(職員設定用!$E$5*$C11*100+職員設定用!$E$7*T$3+職員設定用!$E$8+職員設定用!$E$9*T$3&gt;=職員設定用!$E$10,職員設定用!$E$10,職員設定用!$E$5*$C11*100+職員設定用!$E$7*T$3+職員設定用!$E$8+職員設定用!$E$9*T$3)</f>
        <v>871774</v>
      </c>
      <c r="U11" s="215">
        <f t="shared" ref="U11" si="47">ROUNDUP(T11/12,-2)</f>
        <v>72700</v>
      </c>
      <c r="V11" s="207">
        <f>IF(職員設定用!$B$5*$C11*100+職員設定用!$B$7*V$3+職員設定用!$B$8&gt;=職員設定用!$B$10,職員設定用!$B$10,職員設定用!$B$5*$C11*100+職員設定用!$B$7*V$3+職員設定用!$B$8)
+IF(職員設定用!$C$5*$C11*100+職員設定用!$C$7*V$3+職員設定用!$C$8&gt;=職員設定用!$C$10,職員設定用!$C$10,職員設定用!$C$5*$C11*100+職員設定用!$C$7*V$3+職員設定用!$C$8)
+IF(職員設定用!$D$5*$C11*100+職員設定用!$D$7*V$3+職員設定用!$D$8&gt;=職員設定用!$D$10,職員設定用!$D$10,職員設定用!$D$5*$C11*100+職員設定用!$D$7*V$3+職員設定用!$D$8)
+IF(職員設定用!$E$5*$C11*100+職員設定用!$E$7*V$3+職員設定用!$E$8+職員設定用!$E$9*V$3&gt;=職員設定用!$E$10,職員設定用!$E$10,職員設定用!$E$5*$C11*100+職員設定用!$E$7*V$3+職員設定用!$E$8+職員設定用!$E$9*V$3)</f>
        <v>919035</v>
      </c>
      <c r="W11" s="215">
        <f t="shared" ref="W11" si="48">ROUNDUP(V11/12,-2)</f>
        <v>76600</v>
      </c>
    </row>
    <row r="12" spans="2:23" ht="22.5" customHeight="1">
      <c r="B12" s="212">
        <v>350</v>
      </c>
      <c r="C12" s="218">
        <f>IF(B12-職員設定用!$B$19/10000&gt;0,B12-職員設定用!$B$19/10000,0)</f>
        <v>307</v>
      </c>
      <c r="D12" s="207">
        <f>IF(職員設定用!$B$5*$C12*100+職員設定用!$B$7*D$3+職員設定用!$B$8&gt;=職員設定用!$B$10,職員設定用!$B$10,職員設定用!$B$5*$C12*100+職員設定用!$B$7*D$3+職員設定用!$B$8)
+IF(職員設定用!$C$5*$C12*100+職員設定用!$C$7*D$3+職員設定用!$C$8&gt;=職員設定用!$C$10,職員設定用!$C$10,職員設定用!$C$5*$C12*100+職員設定用!$C$7*D$3+職員設定用!$C$8)
+IF(職員設定用!$D$5*$C12*100+職員設定用!$D$7*D$3+職員設定用!$D$8&gt;=職員設定用!$D$10,職員設定用!$D$10,職員設定用!$D$5*$C12*100+職員設定用!$D$7*D$3+職員設定用!$D$8)
+IF(職員設定用!$E$5*$C12*100+職員設定用!$E$7*D$3+職員設定用!$E$8+職員設定用!$E$9*D$3&gt;=職員設定用!$E$10,職員設定用!$E$10,職員設定用!$E$5*$C12*100+職員設定用!$E$7*D$3+職員設定用!$E$8+職員設定用!$E$9*D$3)</f>
        <v>485474</v>
      </c>
      <c r="E12" s="215">
        <f t="shared" si="0"/>
        <v>40500</v>
      </c>
      <c r="F12" s="207">
        <f>IF(職員設定用!$B$5*$C12*100+職員設定用!$B$7*F$3+職員設定用!$B$8&gt;=職員設定用!$B$10,職員設定用!$B$10,職員設定用!$B$5*$C12*100+職員設定用!$B$7*F$3+職員設定用!$B$8)
+IF(職員設定用!$C$5*$C12*100+職員設定用!$C$7*F$3+職員設定用!$C$8&gt;=職員設定用!$C$10,職員設定用!$C$10,職員設定用!$C$5*$C12*100+職員設定用!$C$7*F$3+職員設定用!$C$8)
+IF(職員設定用!$D$5*$C12*100+職員設定用!$D$7*F$3+職員設定用!$D$8&gt;=職員設定用!$D$10,職員設定用!$D$10,職員設定用!$D$5*$C12*100+職員設定用!$D$7*F$3+職員設定用!$D$8)
+IF(職員設定用!$E$5*$C12*100+職員設定用!$E$7*F$3+職員設定用!$E$8+職員設定用!$E$9*F$3&gt;=職員設定用!$E$10,職員設定用!$E$10,職員設定用!$E$5*$C12*100+職員設定用!$E$7*F$3+職員設定用!$E$8+職員設定用!$E$9*F$3)</f>
        <v>541774</v>
      </c>
      <c r="G12" s="215">
        <f t="shared" si="0"/>
        <v>45200</v>
      </c>
      <c r="H12" s="207">
        <f>IF(職員設定用!$B$5*$C12*100+職員設定用!$B$7*H$3+職員設定用!$B$8&gt;=職員設定用!$B$10,職員設定用!$B$10,職員設定用!$B$5*$C12*100+職員設定用!$B$7*H$3+職員設定用!$B$8)
+IF(職員設定用!$C$5*$C12*100+職員設定用!$C$7*H$3+職員設定用!$C$8&gt;=職員設定用!$C$10,職員設定用!$C$10,職員設定用!$C$5*$C12*100+職員設定用!$C$7*H$3+職員設定用!$C$8)
+IF(職員設定用!$D$5*$C12*100+職員設定用!$D$7*H$3+職員設定用!$D$8&gt;=職員設定用!$D$10,職員設定用!$D$10,職員設定用!$D$5*$C12*100+職員設定用!$D$7*H$3+職員設定用!$D$8)
+IF(職員設定用!$E$5*$C12*100+職員設定用!$E$7*H$3+職員設定用!$E$8+職員設定用!$E$9*H$3&gt;=職員設定用!$E$10,職員設定用!$E$10,職員設定用!$E$5*$C12*100+職員設定用!$E$7*H$3+職員設定用!$E$8+職員設定用!$E$9*H$3)</f>
        <v>598074</v>
      </c>
      <c r="I12" s="215">
        <f t="shared" ref="I12" si="49">ROUNDUP(H12/12,-2)</f>
        <v>49900</v>
      </c>
      <c r="J12" s="207">
        <f>IF(職員設定用!$B$5*$C12*100+職員設定用!$B$7*J$3+職員設定用!$B$8&gt;=職員設定用!$B$10,職員設定用!$B$10,職員設定用!$B$5*$C12*100+職員設定用!$B$7*J$3+職員設定用!$B$8)
+IF(職員設定用!$C$5*$C12*100+職員設定用!$C$7*J$3+職員設定用!$C$8&gt;=職員設定用!$C$10,職員設定用!$C$10,職員設定用!$C$5*$C12*100+職員設定用!$C$7*J$3+職員設定用!$C$8)
+IF(職員設定用!$D$5*$C12*100+職員設定用!$D$7*J$3+職員設定用!$D$8&gt;=職員設定用!$D$10,職員設定用!$D$10,職員設定用!$D$5*$C12*100+職員設定用!$D$7*J$3+職員設定用!$D$8)
+IF(職員設定用!$E$5*$C12*100+職員設定用!$E$7*J$3+職員設定用!$E$8+職員設定用!$E$9*J$3&gt;=職員設定用!$E$10,職員設定用!$E$10,職員設定用!$E$5*$C12*100+職員設定用!$E$7*J$3+職員設定用!$E$8+職員設定用!$E$9*J$3)</f>
        <v>654374</v>
      </c>
      <c r="K12" s="215">
        <f t="shared" ref="K12" si="50">ROUNDUP(J12/12,-2)</f>
        <v>54600</v>
      </c>
      <c r="L12" s="207">
        <f>IF(職員設定用!$B$5*$C12*100+職員設定用!$B$7*L$3+職員設定用!$B$8&gt;=職員設定用!$B$10,職員設定用!$B$10,職員設定用!$B$5*$C12*100+職員設定用!$B$7*L$3+職員設定用!$B$8)
+IF(職員設定用!$C$5*$C12*100+職員設定用!$C$7*L$3+職員設定用!$C$8&gt;=職員設定用!$C$10,職員設定用!$C$10,職員設定用!$C$5*$C12*100+職員設定用!$C$7*L$3+職員設定用!$C$8)
+IF(職員設定用!$D$5*$C12*100+職員設定用!$D$7*L$3+職員設定用!$D$8&gt;=職員設定用!$D$10,職員設定用!$D$10,職員設定用!$D$5*$C12*100+職員設定用!$D$7*L$3+職員設定用!$D$8)
+IF(職員設定用!$E$5*$C12*100+職員設定用!$E$7*L$3+職員設定用!$E$8+職員設定用!$E$9*L$3&gt;=職員設定用!$E$10,職員設定用!$E$10,職員設定用!$E$5*$C12*100+職員設定用!$E$7*L$3+職員設定用!$E$8+職員設定用!$E$9*L$3)</f>
        <v>710674</v>
      </c>
      <c r="M12" s="215">
        <f t="shared" ref="M12" si="51">ROUNDUP(L12/12,-2)</f>
        <v>59300</v>
      </c>
      <c r="N12" s="207">
        <f>IF(職員設定用!$B$5*$C12*100+職員設定用!$B$7*N$3+職員設定用!$B$8&gt;=職員設定用!$B$10,職員設定用!$B$10,職員設定用!$B$5*$C12*100+職員設定用!$B$7*N$3+職員設定用!$B$8)
+IF(職員設定用!$C$5*$C12*100+職員設定用!$C$7*N$3+職員設定用!$C$8&gt;=職員設定用!$C$10,職員設定用!$C$10,職員設定用!$C$5*$C12*100+職員設定用!$C$7*N$3+職員設定用!$C$8)
+IF(職員設定用!$D$5*$C12*100+職員設定用!$D$7*N$3+職員設定用!$D$8&gt;=職員設定用!$D$10,職員設定用!$D$10,職員設定用!$D$5*$C12*100+職員設定用!$D$7*N$3+職員設定用!$D$8)
+IF(職員設定用!$E$5*$C12*100+職員設定用!$E$7*N$3+職員設定用!$E$8+職員設定用!$E$9*N$3&gt;=職員設定用!$E$10,職員設定用!$E$10,職員設定用!$E$5*$C12*100+職員設定用!$E$7*N$3+職員設定用!$E$8+職員設定用!$E$9*N$3)</f>
        <v>766974</v>
      </c>
      <c r="O12" s="215">
        <f t="shared" ref="O12" si="52">ROUNDUP(N12/12,-2)</f>
        <v>64000</v>
      </c>
      <c r="P12" s="207">
        <f>IF(職員設定用!$B$5*$C12*100+職員設定用!$B$7*P$3+職員設定用!$B$8&gt;=職員設定用!$B$10,職員設定用!$B$10,職員設定用!$B$5*$C12*100+職員設定用!$B$7*P$3+職員設定用!$B$8)
+IF(職員設定用!$C$5*$C12*100+職員設定用!$C$7*P$3+職員設定用!$C$8&gt;=職員設定用!$C$10,職員設定用!$C$10,職員設定用!$C$5*$C12*100+職員設定用!$C$7*P$3+職員設定用!$C$8)
+IF(職員設定用!$D$5*$C12*100+職員設定用!$D$7*P$3+職員設定用!$D$8&gt;=職員設定用!$D$10,職員設定用!$D$10,職員設定用!$D$5*$C12*100+職員設定用!$D$7*P$3+職員設定用!$D$8)
+IF(職員設定用!$E$5*$C12*100+職員設定用!$E$7*P$3+職員設定用!$E$8+職員設定用!$E$9*P$3&gt;=職員設定用!$E$10,職員設定用!$E$10,職員設定用!$E$5*$C12*100+職員設定用!$E$7*P$3+職員設定用!$E$8+職員設定用!$E$9*P$3)</f>
        <v>823274</v>
      </c>
      <c r="Q12" s="215">
        <f t="shared" ref="Q12" si="53">ROUNDUP(P12/12,-2)</f>
        <v>68700</v>
      </c>
      <c r="R12" s="207">
        <f>IF(職員設定用!$B$5*$C12*100+職員設定用!$B$7*R$3+職員設定用!$B$8&gt;=職員設定用!$B$10,職員設定用!$B$10,職員設定用!$B$5*$C12*100+職員設定用!$B$7*R$3+職員設定用!$B$8)
+IF(職員設定用!$C$5*$C12*100+職員設定用!$C$7*R$3+職員設定用!$C$8&gt;=職員設定用!$C$10,職員設定用!$C$10,職員設定用!$C$5*$C12*100+職員設定用!$C$7*R$3+職員設定用!$C$8)
+IF(職員設定用!$D$5*$C12*100+職員設定用!$D$7*R$3+職員設定用!$D$8&gt;=職員設定用!$D$10,職員設定用!$D$10,職員設定用!$D$5*$C12*100+職員設定用!$D$7*R$3+職員設定用!$D$8)
+IF(職員設定用!$E$5*$C12*100+職員設定用!$E$7*R$3+職員設定用!$E$8+職員設定用!$E$9*R$3&gt;=職員設定用!$E$10,職員設定用!$E$10,職員設定用!$E$5*$C12*100+職員設定用!$E$7*R$3+職員設定用!$E$8+職員設定用!$E$9*R$3)</f>
        <v>879574</v>
      </c>
      <c r="S12" s="215">
        <f t="shared" ref="S12" si="54">ROUNDUP(R12/12,-2)</f>
        <v>73300</v>
      </c>
      <c r="T12" s="207">
        <f>IF(職員設定用!$B$5*$C12*100+職員設定用!$B$7*T$3+職員設定用!$B$8&gt;=職員設定用!$B$10,職員設定用!$B$10,職員設定用!$B$5*$C12*100+職員設定用!$B$7*T$3+職員設定用!$B$8)
+IF(職員設定用!$C$5*$C12*100+職員設定用!$C$7*T$3+職員設定用!$C$8&gt;=職員設定用!$C$10,職員設定用!$C$10,職員設定用!$C$5*$C12*100+職員設定用!$C$7*T$3+職員設定用!$C$8)
+IF(職員設定用!$D$5*$C12*100+職員設定用!$D$7*T$3+職員設定用!$D$8&gt;=職員設定用!$D$10,職員設定用!$D$10,職員設定用!$D$5*$C12*100+職員設定用!$D$7*T$3+職員設定用!$D$8)
+IF(職員設定用!$E$5*$C12*100+職員設定用!$E$7*T$3+職員設定用!$E$8+職員設定用!$E$9*T$3&gt;=職員設定用!$E$10,職員設定用!$E$10,職員設定用!$E$5*$C12*100+職員設定用!$E$7*T$3+職員設定用!$E$8+職員設定用!$E$9*T$3)</f>
        <v>926985</v>
      </c>
      <c r="U12" s="215">
        <f t="shared" ref="U12" si="55">ROUNDUP(T12/12,-2)</f>
        <v>77300</v>
      </c>
      <c r="V12" s="207">
        <f>IF(職員設定用!$B$5*$C12*100+職員設定用!$B$7*V$3+職員設定用!$B$8&gt;=職員設定用!$B$10,職員設定用!$B$10,職員設定用!$B$5*$C12*100+職員設定用!$B$7*V$3+職員設定用!$B$8)
+IF(職員設定用!$C$5*$C12*100+職員設定用!$C$7*V$3+職員設定用!$C$8&gt;=職員設定用!$C$10,職員設定用!$C$10,職員設定用!$C$5*$C12*100+職員設定用!$C$7*V$3+職員設定用!$C$8)
+IF(職員設定用!$D$5*$C12*100+職員設定用!$D$7*V$3+職員設定用!$D$8&gt;=職員設定用!$D$10,職員設定用!$D$10,職員設定用!$D$5*$C12*100+職員設定用!$D$7*V$3+職員設定用!$D$8)
+IF(職員設定用!$E$5*$C12*100+職員設定用!$E$7*V$3+職員設定用!$E$8+職員設定用!$E$9*V$3&gt;=職員設定用!$E$10,職員設定用!$E$10,職員設定用!$E$5*$C12*100+職員設定用!$E$7*V$3+職員設定用!$E$8+職員設定用!$E$9*V$3)</f>
        <v>971785</v>
      </c>
      <c r="W12" s="215">
        <f t="shared" ref="W12" si="56">ROUNDUP(V12/12,-2)</f>
        <v>81000</v>
      </c>
    </row>
    <row r="13" spans="2:23" ht="22.5" customHeight="1">
      <c r="B13" s="212">
        <v>400</v>
      </c>
      <c r="C13" s="218">
        <f>IF(B13-職員設定用!$B$19/10000&gt;0,B13-職員設定用!$B$19/10000,0)</f>
        <v>357</v>
      </c>
      <c r="D13" s="207">
        <f>IF(職員設定用!$B$5*$C13*100+職員設定用!$B$7*D$3+職員設定用!$B$8&gt;=職員設定用!$B$10,職員設定用!$B$10,職員設定用!$B$5*$C13*100+職員設定用!$B$7*D$3+職員設定用!$B$8)
+IF(職員設定用!$C$5*$C13*100+職員設定用!$C$7*D$3+職員設定用!$C$8&gt;=職員設定用!$C$10,職員設定用!$C$10,職員設定用!$C$5*$C13*100+職員設定用!$C$7*D$3+職員設定用!$C$8)
+IF(職員設定用!$D$5*$C13*100+職員設定用!$D$7*D$3+職員設定用!$D$8&gt;=職員設定用!$D$10,職員設定用!$D$10,職員設定用!$D$5*$C13*100+職員設定用!$D$7*D$3+職員設定用!$D$8)
+IF(職員設定用!$E$5*$C13*100+職員設定用!$E$7*D$3+職員設定用!$E$8+職員設定用!$E$9*D$3&gt;=職員設定用!$E$10,職員設定用!$E$10,職員設定用!$E$5*$C13*100+職員設定用!$E$7*D$3+職員設定用!$E$8+職員設定用!$E$9*D$3)</f>
        <v>549574</v>
      </c>
      <c r="E13" s="215">
        <f t="shared" si="0"/>
        <v>45800</v>
      </c>
      <c r="F13" s="207">
        <f>IF(職員設定用!$B$5*$C13*100+職員設定用!$B$7*F$3+職員設定用!$B$8&gt;=職員設定用!$B$10,職員設定用!$B$10,職員設定用!$B$5*$C13*100+職員設定用!$B$7*F$3+職員設定用!$B$8)
+IF(職員設定用!$C$5*$C13*100+職員設定用!$C$7*F$3+職員設定用!$C$8&gt;=職員設定用!$C$10,職員設定用!$C$10,職員設定用!$C$5*$C13*100+職員設定用!$C$7*F$3+職員設定用!$C$8)
+IF(職員設定用!$D$5*$C13*100+職員設定用!$D$7*F$3+職員設定用!$D$8&gt;=職員設定用!$D$10,職員設定用!$D$10,職員設定用!$D$5*$C13*100+職員設定用!$D$7*F$3+職員設定用!$D$8)
+IF(職員設定用!$E$5*$C13*100+職員設定用!$E$7*F$3+職員設定用!$E$8+職員設定用!$E$9*F$3&gt;=職員設定用!$E$10,職員設定用!$E$10,職員設定用!$E$5*$C13*100+職員設定用!$E$7*F$3+職員設定用!$E$8+職員設定用!$E$9*F$3)</f>
        <v>605874</v>
      </c>
      <c r="G13" s="215">
        <f t="shared" si="0"/>
        <v>50500</v>
      </c>
      <c r="H13" s="207">
        <f>IF(職員設定用!$B$5*$C13*100+職員設定用!$B$7*H$3+職員設定用!$B$8&gt;=職員設定用!$B$10,職員設定用!$B$10,職員設定用!$B$5*$C13*100+職員設定用!$B$7*H$3+職員設定用!$B$8)
+IF(職員設定用!$C$5*$C13*100+職員設定用!$C$7*H$3+職員設定用!$C$8&gt;=職員設定用!$C$10,職員設定用!$C$10,職員設定用!$C$5*$C13*100+職員設定用!$C$7*H$3+職員設定用!$C$8)
+IF(職員設定用!$D$5*$C13*100+職員設定用!$D$7*H$3+職員設定用!$D$8&gt;=職員設定用!$D$10,職員設定用!$D$10,職員設定用!$D$5*$C13*100+職員設定用!$D$7*H$3+職員設定用!$D$8)
+IF(職員設定用!$E$5*$C13*100+職員設定用!$E$7*H$3+職員設定用!$E$8+職員設定用!$E$9*H$3&gt;=職員設定用!$E$10,職員設定用!$E$10,職員設定用!$E$5*$C13*100+職員設定用!$E$7*H$3+職員設定用!$E$8+職員設定用!$E$9*H$3)</f>
        <v>662174</v>
      </c>
      <c r="I13" s="215">
        <f t="shared" ref="I13" si="57">ROUNDUP(H13/12,-2)</f>
        <v>55200</v>
      </c>
      <c r="J13" s="207">
        <f>IF(職員設定用!$B$5*$C13*100+職員設定用!$B$7*J$3+職員設定用!$B$8&gt;=職員設定用!$B$10,職員設定用!$B$10,職員設定用!$B$5*$C13*100+職員設定用!$B$7*J$3+職員設定用!$B$8)
+IF(職員設定用!$C$5*$C13*100+職員設定用!$C$7*J$3+職員設定用!$C$8&gt;=職員設定用!$C$10,職員設定用!$C$10,職員設定用!$C$5*$C13*100+職員設定用!$C$7*J$3+職員設定用!$C$8)
+IF(職員設定用!$D$5*$C13*100+職員設定用!$D$7*J$3+職員設定用!$D$8&gt;=職員設定用!$D$10,職員設定用!$D$10,職員設定用!$D$5*$C13*100+職員設定用!$D$7*J$3+職員設定用!$D$8)
+IF(職員設定用!$E$5*$C13*100+職員設定用!$E$7*J$3+職員設定用!$E$8+職員設定用!$E$9*J$3&gt;=職員設定用!$E$10,職員設定用!$E$10,職員設定用!$E$5*$C13*100+職員設定用!$E$7*J$3+職員設定用!$E$8+職員設定用!$E$9*J$3)</f>
        <v>718474</v>
      </c>
      <c r="K13" s="215">
        <f t="shared" ref="K13" si="58">ROUNDUP(J13/12,-2)</f>
        <v>59900</v>
      </c>
      <c r="L13" s="207">
        <f>IF(職員設定用!$B$5*$C13*100+職員設定用!$B$7*L$3+職員設定用!$B$8&gt;=職員設定用!$B$10,職員設定用!$B$10,職員設定用!$B$5*$C13*100+職員設定用!$B$7*L$3+職員設定用!$B$8)
+IF(職員設定用!$C$5*$C13*100+職員設定用!$C$7*L$3+職員設定用!$C$8&gt;=職員設定用!$C$10,職員設定用!$C$10,職員設定用!$C$5*$C13*100+職員設定用!$C$7*L$3+職員設定用!$C$8)
+IF(職員設定用!$D$5*$C13*100+職員設定用!$D$7*L$3+職員設定用!$D$8&gt;=職員設定用!$D$10,職員設定用!$D$10,職員設定用!$D$5*$C13*100+職員設定用!$D$7*L$3+職員設定用!$D$8)
+IF(職員設定用!$E$5*$C13*100+職員設定用!$E$7*L$3+職員設定用!$E$8+職員設定用!$E$9*L$3&gt;=職員設定用!$E$10,職員設定用!$E$10,職員設定用!$E$5*$C13*100+職員設定用!$E$7*L$3+職員設定用!$E$8+職員設定用!$E$9*L$3)</f>
        <v>774774</v>
      </c>
      <c r="M13" s="215">
        <f t="shared" ref="M13" si="59">ROUNDUP(L13/12,-2)</f>
        <v>64600</v>
      </c>
      <c r="N13" s="207">
        <f>IF(職員設定用!$B$5*$C13*100+職員設定用!$B$7*N$3+職員設定用!$B$8&gt;=職員設定用!$B$10,職員設定用!$B$10,職員設定用!$B$5*$C13*100+職員設定用!$B$7*N$3+職員設定用!$B$8)
+IF(職員設定用!$C$5*$C13*100+職員設定用!$C$7*N$3+職員設定用!$C$8&gt;=職員設定用!$C$10,職員設定用!$C$10,職員設定用!$C$5*$C13*100+職員設定用!$C$7*N$3+職員設定用!$C$8)
+IF(職員設定用!$D$5*$C13*100+職員設定用!$D$7*N$3+職員設定用!$D$8&gt;=職員設定用!$D$10,職員設定用!$D$10,職員設定用!$D$5*$C13*100+職員設定用!$D$7*N$3+職員設定用!$D$8)
+IF(職員設定用!$E$5*$C13*100+職員設定用!$E$7*N$3+職員設定用!$E$8+職員設定用!$E$9*N$3&gt;=職員設定用!$E$10,職員設定用!$E$10,職員設定用!$E$5*$C13*100+職員設定用!$E$7*N$3+職員設定用!$E$8+職員設定用!$E$9*N$3)</f>
        <v>831074</v>
      </c>
      <c r="O13" s="215">
        <f t="shared" ref="O13" si="60">ROUNDUP(N13/12,-2)</f>
        <v>69300</v>
      </c>
      <c r="P13" s="207">
        <f>IF(職員設定用!$B$5*$C13*100+職員設定用!$B$7*P$3+職員設定用!$B$8&gt;=職員設定用!$B$10,職員設定用!$B$10,職員設定用!$B$5*$C13*100+職員設定用!$B$7*P$3+職員設定用!$B$8)
+IF(職員設定用!$C$5*$C13*100+職員設定用!$C$7*P$3+職員設定用!$C$8&gt;=職員設定用!$C$10,職員設定用!$C$10,職員設定用!$C$5*$C13*100+職員設定用!$C$7*P$3+職員設定用!$C$8)
+IF(職員設定用!$D$5*$C13*100+職員設定用!$D$7*P$3+職員設定用!$D$8&gt;=職員設定用!$D$10,職員設定用!$D$10,職員設定用!$D$5*$C13*100+職員設定用!$D$7*P$3+職員設定用!$D$8)
+IF(職員設定用!$E$5*$C13*100+職員設定用!$E$7*P$3+職員設定用!$E$8+職員設定用!$E$9*P$3&gt;=職員設定用!$E$10,職員設定用!$E$10,職員設定用!$E$5*$C13*100+職員設定用!$E$7*P$3+職員設定用!$E$8+職員設定用!$E$9*P$3)</f>
        <v>887374</v>
      </c>
      <c r="Q13" s="215">
        <f t="shared" ref="Q13" si="61">ROUNDUP(P13/12,-2)</f>
        <v>74000</v>
      </c>
      <c r="R13" s="207">
        <f>IF(職員設定用!$B$5*$C13*100+職員設定用!$B$7*R$3+職員設定用!$B$8&gt;=職員設定用!$B$10,職員設定用!$B$10,職員設定用!$B$5*$C13*100+職員設定用!$B$7*R$3+職員設定用!$B$8)
+IF(職員設定用!$C$5*$C13*100+職員設定用!$C$7*R$3+職員設定用!$C$8&gt;=職員設定用!$C$10,職員設定用!$C$10,職員設定用!$C$5*$C13*100+職員設定用!$C$7*R$3+職員設定用!$C$8)
+IF(職員設定用!$D$5*$C13*100+職員設定用!$D$7*R$3+職員設定用!$D$8&gt;=職員設定用!$D$10,職員設定用!$D$10,職員設定用!$D$5*$C13*100+職員設定用!$D$7*R$3+職員設定用!$D$8)
+IF(職員設定用!$E$5*$C13*100+職員設定用!$E$7*R$3+職員設定用!$E$8+職員設定用!$E$9*R$3&gt;=職員設定用!$E$10,職員設定用!$E$10,職員設定用!$E$5*$C13*100+職員設定用!$E$7*R$3+職員設定用!$E$8+職員設定用!$E$9*R$3)</f>
        <v>934935</v>
      </c>
      <c r="S13" s="215">
        <f t="shared" ref="S13" si="62">ROUNDUP(R13/12,-2)</f>
        <v>78000</v>
      </c>
      <c r="T13" s="207">
        <f>IF(職員設定用!$B$5*$C13*100+職員設定用!$B$7*T$3+職員設定用!$B$8&gt;=職員設定用!$B$10,職員設定用!$B$10,職員設定用!$B$5*$C13*100+職員設定用!$B$7*T$3+職員設定用!$B$8)
+IF(職員設定用!$C$5*$C13*100+職員設定用!$C$7*T$3+職員設定用!$C$8&gt;=職員設定用!$C$10,職員設定用!$C$10,職員設定用!$C$5*$C13*100+職員設定用!$C$7*T$3+職員設定用!$C$8)
+IF(職員設定用!$D$5*$C13*100+職員設定用!$D$7*T$3+職員設定用!$D$8&gt;=職員設定用!$D$10,職員設定用!$D$10,職員設定用!$D$5*$C13*100+職員設定用!$D$7*T$3+職員設定用!$D$8)
+IF(職員設定用!$E$5*$C13*100+職員設定用!$E$7*T$3+職員設定用!$E$8+職員設定用!$E$9*T$3&gt;=職員設定用!$E$10,職員設定用!$E$10,職員設定用!$E$5*$C13*100+職員設定用!$E$7*T$3+職員設定用!$E$8+職員設定用!$E$9*T$3)</f>
        <v>979735</v>
      </c>
      <c r="U13" s="215">
        <f t="shared" ref="U13" si="63">ROUNDUP(T13/12,-2)</f>
        <v>81700</v>
      </c>
      <c r="V13" s="207">
        <f>IF(職員設定用!$B$5*$C13*100+職員設定用!$B$7*V$3+職員設定用!$B$8&gt;=職員設定用!$B$10,職員設定用!$B$10,職員設定用!$B$5*$C13*100+職員設定用!$B$7*V$3+職員設定用!$B$8)
+IF(職員設定用!$C$5*$C13*100+職員設定用!$C$7*V$3+職員設定用!$C$8&gt;=職員設定用!$C$10,職員設定用!$C$10,職員設定用!$C$5*$C13*100+職員設定用!$C$7*V$3+職員設定用!$C$8)
+IF(職員設定用!$D$5*$C13*100+職員設定用!$D$7*V$3+職員設定用!$D$8&gt;=職員設定用!$D$10,職員設定用!$D$10,職員設定用!$D$5*$C13*100+職員設定用!$D$7*V$3+職員設定用!$D$8)
+IF(職員設定用!$E$5*$C13*100+職員設定用!$E$7*V$3+職員設定用!$E$8+職員設定用!$E$9*V$3&gt;=職員設定用!$E$10,職員設定用!$E$10,職員設定用!$E$5*$C13*100+職員設定用!$E$7*V$3+職員設定用!$E$8+職員設定用!$E$9*V$3)</f>
        <v>1024535</v>
      </c>
      <c r="W13" s="215">
        <f t="shared" ref="W13" si="64">ROUNDUP(V13/12,-2)</f>
        <v>85400</v>
      </c>
    </row>
    <row r="14" spans="2:23" ht="22.5" customHeight="1">
      <c r="B14" s="212">
        <v>450</v>
      </c>
      <c r="C14" s="218">
        <f>IF(B14-職員設定用!$B$19/10000&gt;0,B14-職員設定用!$B$19/10000,0)</f>
        <v>407</v>
      </c>
      <c r="D14" s="207">
        <f>IF(職員設定用!$B$5*$C14*100+職員設定用!$B$7*D$3+職員設定用!$B$8&gt;=職員設定用!$B$10,職員設定用!$B$10,職員設定用!$B$5*$C14*100+職員設定用!$B$7*D$3+職員設定用!$B$8)
+IF(職員設定用!$C$5*$C14*100+職員設定用!$C$7*D$3+職員設定用!$C$8&gt;=職員設定用!$C$10,職員設定用!$C$10,職員設定用!$C$5*$C14*100+職員設定用!$C$7*D$3+職員設定用!$C$8)
+IF(職員設定用!$D$5*$C14*100+職員設定用!$D$7*D$3+職員設定用!$D$8&gt;=職員設定用!$D$10,職員設定用!$D$10,職員設定用!$D$5*$C14*100+職員設定用!$D$7*D$3+職員設定用!$D$8)
+IF(職員設定用!$E$5*$C14*100+職員設定用!$E$7*D$3+職員設定用!$E$8+職員設定用!$E$9*D$3&gt;=職員設定用!$E$10,職員設定用!$E$10,職員設定用!$E$5*$C14*100+職員設定用!$E$7*D$3+職員設定用!$E$8+職員設定用!$E$9*D$3)</f>
        <v>613674</v>
      </c>
      <c r="E14" s="215">
        <f t="shared" si="0"/>
        <v>51200</v>
      </c>
      <c r="F14" s="207">
        <f>IF(職員設定用!$B$5*$C14*100+職員設定用!$B$7*F$3+職員設定用!$B$8&gt;=職員設定用!$B$10,職員設定用!$B$10,職員設定用!$B$5*$C14*100+職員設定用!$B$7*F$3+職員設定用!$B$8)
+IF(職員設定用!$C$5*$C14*100+職員設定用!$C$7*F$3+職員設定用!$C$8&gt;=職員設定用!$C$10,職員設定用!$C$10,職員設定用!$C$5*$C14*100+職員設定用!$C$7*F$3+職員設定用!$C$8)
+IF(職員設定用!$D$5*$C14*100+職員設定用!$D$7*F$3+職員設定用!$D$8&gt;=職員設定用!$D$10,職員設定用!$D$10,職員設定用!$D$5*$C14*100+職員設定用!$D$7*F$3+職員設定用!$D$8)
+IF(職員設定用!$E$5*$C14*100+職員設定用!$E$7*F$3+職員設定用!$E$8+職員設定用!$E$9*F$3&gt;=職員設定用!$E$10,職員設定用!$E$10,職員設定用!$E$5*$C14*100+職員設定用!$E$7*F$3+職員設定用!$E$8+職員設定用!$E$9*F$3)</f>
        <v>669974</v>
      </c>
      <c r="G14" s="215">
        <f t="shared" si="0"/>
        <v>55900</v>
      </c>
      <c r="H14" s="207">
        <f>IF(職員設定用!$B$5*$C14*100+職員設定用!$B$7*H$3+職員設定用!$B$8&gt;=職員設定用!$B$10,職員設定用!$B$10,職員設定用!$B$5*$C14*100+職員設定用!$B$7*H$3+職員設定用!$B$8)
+IF(職員設定用!$C$5*$C14*100+職員設定用!$C$7*H$3+職員設定用!$C$8&gt;=職員設定用!$C$10,職員設定用!$C$10,職員設定用!$C$5*$C14*100+職員設定用!$C$7*H$3+職員設定用!$C$8)
+IF(職員設定用!$D$5*$C14*100+職員設定用!$D$7*H$3+職員設定用!$D$8&gt;=職員設定用!$D$10,職員設定用!$D$10,職員設定用!$D$5*$C14*100+職員設定用!$D$7*H$3+職員設定用!$D$8)
+IF(職員設定用!$E$5*$C14*100+職員設定用!$E$7*H$3+職員設定用!$E$8+職員設定用!$E$9*H$3&gt;=職員設定用!$E$10,職員設定用!$E$10,職員設定用!$E$5*$C14*100+職員設定用!$E$7*H$3+職員設定用!$E$8+職員設定用!$E$9*H$3)</f>
        <v>726274</v>
      </c>
      <c r="I14" s="215">
        <f t="shared" ref="I14" si="65">ROUNDUP(H14/12,-2)</f>
        <v>60600</v>
      </c>
      <c r="J14" s="207">
        <f>IF(職員設定用!$B$5*$C14*100+職員設定用!$B$7*J$3+職員設定用!$B$8&gt;=職員設定用!$B$10,職員設定用!$B$10,職員設定用!$B$5*$C14*100+職員設定用!$B$7*J$3+職員設定用!$B$8)
+IF(職員設定用!$C$5*$C14*100+職員設定用!$C$7*J$3+職員設定用!$C$8&gt;=職員設定用!$C$10,職員設定用!$C$10,職員設定用!$C$5*$C14*100+職員設定用!$C$7*J$3+職員設定用!$C$8)
+IF(職員設定用!$D$5*$C14*100+職員設定用!$D$7*J$3+職員設定用!$D$8&gt;=職員設定用!$D$10,職員設定用!$D$10,職員設定用!$D$5*$C14*100+職員設定用!$D$7*J$3+職員設定用!$D$8)
+IF(職員設定用!$E$5*$C14*100+職員設定用!$E$7*J$3+職員設定用!$E$8+職員設定用!$E$9*J$3&gt;=職員設定用!$E$10,職員設定用!$E$10,職員設定用!$E$5*$C14*100+職員設定用!$E$7*J$3+職員設定用!$E$8+職員設定用!$E$9*J$3)</f>
        <v>782574</v>
      </c>
      <c r="K14" s="215">
        <f t="shared" ref="K14" si="66">ROUNDUP(J14/12,-2)</f>
        <v>65300</v>
      </c>
      <c r="L14" s="207">
        <f>IF(職員設定用!$B$5*$C14*100+職員設定用!$B$7*L$3+職員設定用!$B$8&gt;=職員設定用!$B$10,職員設定用!$B$10,職員設定用!$B$5*$C14*100+職員設定用!$B$7*L$3+職員設定用!$B$8)
+IF(職員設定用!$C$5*$C14*100+職員設定用!$C$7*L$3+職員設定用!$C$8&gt;=職員設定用!$C$10,職員設定用!$C$10,職員設定用!$C$5*$C14*100+職員設定用!$C$7*L$3+職員設定用!$C$8)
+IF(職員設定用!$D$5*$C14*100+職員設定用!$D$7*L$3+職員設定用!$D$8&gt;=職員設定用!$D$10,職員設定用!$D$10,職員設定用!$D$5*$C14*100+職員設定用!$D$7*L$3+職員設定用!$D$8)
+IF(職員設定用!$E$5*$C14*100+職員設定用!$E$7*L$3+職員設定用!$E$8+職員設定用!$E$9*L$3&gt;=職員設定用!$E$10,職員設定用!$E$10,職員設定用!$E$5*$C14*100+職員設定用!$E$7*L$3+職員設定用!$E$8+職員設定用!$E$9*L$3)</f>
        <v>838874</v>
      </c>
      <c r="M14" s="215">
        <f t="shared" ref="M14" si="67">ROUNDUP(L14/12,-2)</f>
        <v>70000</v>
      </c>
      <c r="N14" s="207">
        <f>IF(職員設定用!$B$5*$C14*100+職員設定用!$B$7*N$3+職員設定用!$B$8&gt;=職員設定用!$B$10,職員設定用!$B$10,職員設定用!$B$5*$C14*100+職員設定用!$B$7*N$3+職員設定用!$B$8)
+IF(職員設定用!$C$5*$C14*100+職員設定用!$C$7*N$3+職員設定用!$C$8&gt;=職員設定用!$C$10,職員設定用!$C$10,職員設定用!$C$5*$C14*100+職員設定用!$C$7*N$3+職員設定用!$C$8)
+IF(職員設定用!$D$5*$C14*100+職員設定用!$D$7*N$3+職員設定用!$D$8&gt;=職員設定用!$D$10,職員設定用!$D$10,職員設定用!$D$5*$C14*100+職員設定用!$D$7*N$3+職員設定用!$D$8)
+IF(職員設定用!$E$5*$C14*100+職員設定用!$E$7*N$3+職員設定用!$E$8+職員設定用!$E$9*N$3&gt;=職員設定用!$E$10,職員設定用!$E$10,職員設定用!$E$5*$C14*100+職員設定用!$E$7*N$3+職員設定用!$E$8+職員設定用!$E$9*N$3)</f>
        <v>895174</v>
      </c>
      <c r="O14" s="215">
        <f t="shared" ref="O14" si="68">ROUNDUP(N14/12,-2)</f>
        <v>74600</v>
      </c>
      <c r="P14" s="207">
        <f>IF(職員設定用!$B$5*$C14*100+職員設定用!$B$7*P$3+職員設定用!$B$8&gt;=職員設定用!$B$10,職員設定用!$B$10,職員設定用!$B$5*$C14*100+職員設定用!$B$7*P$3+職員設定用!$B$8)
+IF(職員設定用!$C$5*$C14*100+職員設定用!$C$7*P$3+職員設定用!$C$8&gt;=職員設定用!$C$10,職員設定用!$C$10,職員設定用!$C$5*$C14*100+職員設定用!$C$7*P$3+職員設定用!$C$8)
+IF(職員設定用!$D$5*$C14*100+職員設定用!$D$7*P$3+職員設定用!$D$8&gt;=職員設定用!$D$10,職員設定用!$D$10,職員設定用!$D$5*$C14*100+職員設定用!$D$7*P$3+職員設定用!$D$8)
+IF(職員設定用!$E$5*$C14*100+職員設定用!$E$7*P$3+職員設定用!$E$8+職員設定用!$E$9*P$3&gt;=職員設定用!$E$10,職員設定用!$E$10,職員設定用!$E$5*$C14*100+職員設定用!$E$7*P$3+職員設定用!$E$8+職員設定用!$E$9*P$3)</f>
        <v>942885</v>
      </c>
      <c r="Q14" s="215">
        <f t="shared" ref="Q14" si="69">ROUNDUP(P14/12,-2)</f>
        <v>78600</v>
      </c>
      <c r="R14" s="207">
        <f>IF(職員設定用!$B$5*$C14*100+職員設定用!$B$7*R$3+職員設定用!$B$8&gt;=職員設定用!$B$10,職員設定用!$B$10,職員設定用!$B$5*$C14*100+職員設定用!$B$7*R$3+職員設定用!$B$8)
+IF(職員設定用!$C$5*$C14*100+職員設定用!$C$7*R$3+職員設定用!$C$8&gt;=職員設定用!$C$10,職員設定用!$C$10,職員設定用!$C$5*$C14*100+職員設定用!$C$7*R$3+職員設定用!$C$8)
+IF(職員設定用!$D$5*$C14*100+職員設定用!$D$7*R$3+職員設定用!$D$8&gt;=職員設定用!$D$10,職員設定用!$D$10,職員設定用!$D$5*$C14*100+職員設定用!$D$7*R$3+職員設定用!$D$8)
+IF(職員設定用!$E$5*$C14*100+職員設定用!$E$7*R$3+職員設定用!$E$8+職員設定用!$E$9*R$3&gt;=職員設定用!$E$10,職員設定用!$E$10,職員設定用!$E$5*$C14*100+職員設定用!$E$7*R$3+職員設定用!$E$8+職員設定用!$E$9*R$3)</f>
        <v>987685</v>
      </c>
      <c r="S14" s="215">
        <f t="shared" ref="S14" si="70">ROUNDUP(R14/12,-2)</f>
        <v>82400</v>
      </c>
      <c r="T14" s="207">
        <f>IF(職員設定用!$B$5*$C14*100+職員設定用!$B$7*T$3+職員設定用!$B$8&gt;=職員設定用!$B$10,職員設定用!$B$10,職員設定用!$B$5*$C14*100+職員設定用!$B$7*T$3+職員設定用!$B$8)
+IF(職員設定用!$C$5*$C14*100+職員設定用!$C$7*T$3+職員設定用!$C$8&gt;=職員設定用!$C$10,職員設定用!$C$10,職員設定用!$C$5*$C14*100+職員設定用!$C$7*T$3+職員設定用!$C$8)
+IF(職員設定用!$D$5*$C14*100+職員設定用!$D$7*T$3+職員設定用!$D$8&gt;=職員設定用!$D$10,職員設定用!$D$10,職員設定用!$D$5*$C14*100+職員設定用!$D$7*T$3+職員設定用!$D$8)
+IF(職員設定用!$E$5*$C14*100+職員設定用!$E$7*T$3+職員設定用!$E$8+職員設定用!$E$9*T$3&gt;=職員設定用!$E$10,職員設定用!$E$10,職員設定用!$E$5*$C14*100+職員設定用!$E$7*T$3+職員設定用!$E$8+職員設定用!$E$9*T$3)</f>
        <v>1032485</v>
      </c>
      <c r="U14" s="215">
        <f t="shared" ref="U14" si="71">ROUNDUP(T14/12,-2)</f>
        <v>86100</v>
      </c>
      <c r="V14" s="207">
        <f>IF(職員設定用!$B$5*$C14*100+職員設定用!$B$7*V$3+職員設定用!$B$8&gt;=職員設定用!$B$10,職員設定用!$B$10,職員設定用!$B$5*$C14*100+職員設定用!$B$7*V$3+職員設定用!$B$8)
+IF(職員設定用!$C$5*$C14*100+職員設定用!$C$7*V$3+職員設定用!$C$8&gt;=職員設定用!$C$10,職員設定用!$C$10,職員設定用!$C$5*$C14*100+職員設定用!$C$7*V$3+職員設定用!$C$8)
+IF(職員設定用!$D$5*$C14*100+職員設定用!$D$7*V$3+職員設定用!$D$8&gt;=職員設定用!$D$10,職員設定用!$D$10,職員設定用!$D$5*$C14*100+職員設定用!$D$7*V$3+職員設定用!$D$8)
+IF(職員設定用!$E$5*$C14*100+職員設定用!$E$7*V$3+職員設定用!$E$8+職員設定用!$E$9*V$3&gt;=職員設定用!$E$10,職員設定用!$E$10,職員設定用!$E$5*$C14*100+職員設定用!$E$7*V$3+職員設定用!$E$8+職員設定用!$E$9*V$3)</f>
        <v>1077285</v>
      </c>
      <c r="W14" s="215">
        <f t="shared" ref="W14" si="72">ROUNDUP(V14/12,-2)</f>
        <v>89800</v>
      </c>
    </row>
    <row r="15" spans="2:23" ht="22.5" customHeight="1">
      <c r="B15" s="212">
        <v>500</v>
      </c>
      <c r="C15" s="218">
        <f>IF(B15-職員設定用!$B$19/10000&gt;0,B15-職員設定用!$B$19/10000,0)</f>
        <v>457</v>
      </c>
      <c r="D15" s="207">
        <f>IF(職員設定用!$B$5*$C15*100+職員設定用!$B$7*D$3+職員設定用!$B$8&gt;=職員設定用!$B$10,職員設定用!$B$10,職員設定用!$B$5*$C15*100+職員設定用!$B$7*D$3+職員設定用!$B$8)
+IF(職員設定用!$C$5*$C15*100+職員設定用!$C$7*D$3+職員設定用!$C$8&gt;=職員設定用!$C$10,職員設定用!$C$10,職員設定用!$C$5*$C15*100+職員設定用!$C$7*D$3+職員設定用!$C$8)
+IF(職員設定用!$D$5*$C15*100+職員設定用!$D$7*D$3+職員設定用!$D$8&gt;=職員設定用!$D$10,職員設定用!$D$10,職員設定用!$D$5*$C15*100+職員設定用!$D$7*D$3+職員設定用!$D$8)
+IF(職員設定用!$E$5*$C15*100+職員設定用!$E$7*D$3+職員設定用!$E$8+職員設定用!$E$9*D$3&gt;=職員設定用!$E$10,職員設定用!$E$10,職員設定用!$E$5*$C15*100+職員設定用!$E$7*D$3+職員設定用!$E$8+職員設定用!$E$9*D$3)</f>
        <v>677774</v>
      </c>
      <c r="E15" s="215">
        <f t="shared" si="0"/>
        <v>56500</v>
      </c>
      <c r="F15" s="207">
        <f>IF(職員設定用!$B$5*$C15*100+職員設定用!$B$7*F$3+職員設定用!$B$8&gt;=職員設定用!$B$10,職員設定用!$B$10,職員設定用!$B$5*$C15*100+職員設定用!$B$7*F$3+職員設定用!$B$8)
+IF(職員設定用!$C$5*$C15*100+職員設定用!$C$7*F$3+職員設定用!$C$8&gt;=職員設定用!$C$10,職員設定用!$C$10,職員設定用!$C$5*$C15*100+職員設定用!$C$7*F$3+職員設定用!$C$8)
+IF(職員設定用!$D$5*$C15*100+職員設定用!$D$7*F$3+職員設定用!$D$8&gt;=職員設定用!$D$10,職員設定用!$D$10,職員設定用!$D$5*$C15*100+職員設定用!$D$7*F$3+職員設定用!$D$8)
+IF(職員設定用!$E$5*$C15*100+職員設定用!$E$7*F$3+職員設定用!$E$8+職員設定用!$E$9*F$3&gt;=職員設定用!$E$10,職員設定用!$E$10,職員設定用!$E$5*$C15*100+職員設定用!$E$7*F$3+職員設定用!$E$8+職員設定用!$E$9*F$3)</f>
        <v>734074</v>
      </c>
      <c r="G15" s="215">
        <f t="shared" si="0"/>
        <v>61200</v>
      </c>
      <c r="H15" s="207">
        <f>IF(職員設定用!$B$5*$C15*100+職員設定用!$B$7*H$3+職員設定用!$B$8&gt;=職員設定用!$B$10,職員設定用!$B$10,職員設定用!$B$5*$C15*100+職員設定用!$B$7*H$3+職員設定用!$B$8)
+IF(職員設定用!$C$5*$C15*100+職員設定用!$C$7*H$3+職員設定用!$C$8&gt;=職員設定用!$C$10,職員設定用!$C$10,職員設定用!$C$5*$C15*100+職員設定用!$C$7*H$3+職員設定用!$C$8)
+IF(職員設定用!$D$5*$C15*100+職員設定用!$D$7*H$3+職員設定用!$D$8&gt;=職員設定用!$D$10,職員設定用!$D$10,職員設定用!$D$5*$C15*100+職員設定用!$D$7*H$3+職員設定用!$D$8)
+IF(職員設定用!$E$5*$C15*100+職員設定用!$E$7*H$3+職員設定用!$E$8+職員設定用!$E$9*H$3&gt;=職員設定用!$E$10,職員設定用!$E$10,職員設定用!$E$5*$C15*100+職員設定用!$E$7*H$3+職員設定用!$E$8+職員設定用!$E$9*H$3)</f>
        <v>790374</v>
      </c>
      <c r="I15" s="215">
        <f t="shared" ref="I15" si="73">ROUNDUP(H15/12,-2)</f>
        <v>65900</v>
      </c>
      <c r="J15" s="207">
        <f>IF(職員設定用!$B$5*$C15*100+職員設定用!$B$7*J$3+職員設定用!$B$8&gt;=職員設定用!$B$10,職員設定用!$B$10,職員設定用!$B$5*$C15*100+職員設定用!$B$7*J$3+職員設定用!$B$8)
+IF(職員設定用!$C$5*$C15*100+職員設定用!$C$7*J$3+職員設定用!$C$8&gt;=職員設定用!$C$10,職員設定用!$C$10,職員設定用!$C$5*$C15*100+職員設定用!$C$7*J$3+職員設定用!$C$8)
+IF(職員設定用!$D$5*$C15*100+職員設定用!$D$7*J$3+職員設定用!$D$8&gt;=職員設定用!$D$10,職員設定用!$D$10,職員設定用!$D$5*$C15*100+職員設定用!$D$7*J$3+職員設定用!$D$8)
+IF(職員設定用!$E$5*$C15*100+職員設定用!$E$7*J$3+職員設定用!$E$8+職員設定用!$E$9*J$3&gt;=職員設定用!$E$10,職員設定用!$E$10,職員設定用!$E$5*$C15*100+職員設定用!$E$7*J$3+職員設定用!$E$8+職員設定用!$E$9*J$3)</f>
        <v>846674</v>
      </c>
      <c r="K15" s="215">
        <f t="shared" ref="K15" si="74">ROUNDUP(J15/12,-2)</f>
        <v>70600</v>
      </c>
      <c r="L15" s="207">
        <f>IF(職員設定用!$B$5*$C15*100+職員設定用!$B$7*L$3+職員設定用!$B$8&gt;=職員設定用!$B$10,職員設定用!$B$10,職員設定用!$B$5*$C15*100+職員設定用!$B$7*L$3+職員設定用!$B$8)
+IF(職員設定用!$C$5*$C15*100+職員設定用!$C$7*L$3+職員設定用!$C$8&gt;=職員設定用!$C$10,職員設定用!$C$10,職員設定用!$C$5*$C15*100+職員設定用!$C$7*L$3+職員設定用!$C$8)
+IF(職員設定用!$D$5*$C15*100+職員設定用!$D$7*L$3+職員設定用!$D$8&gt;=職員設定用!$D$10,職員設定用!$D$10,職員設定用!$D$5*$C15*100+職員設定用!$D$7*L$3+職員設定用!$D$8)
+IF(職員設定用!$E$5*$C15*100+職員設定用!$E$7*L$3+職員設定用!$E$8+職員設定用!$E$9*L$3&gt;=職員設定用!$E$10,職員設定用!$E$10,職員設定用!$E$5*$C15*100+職員設定用!$E$7*L$3+職員設定用!$E$8+職員設定用!$E$9*L$3)</f>
        <v>902974</v>
      </c>
      <c r="M15" s="215">
        <f t="shared" ref="M15" si="75">ROUNDUP(L15/12,-2)</f>
        <v>75300</v>
      </c>
      <c r="N15" s="207">
        <f>IF(職員設定用!$B$5*$C15*100+職員設定用!$B$7*N$3+職員設定用!$B$8&gt;=職員設定用!$B$10,職員設定用!$B$10,職員設定用!$B$5*$C15*100+職員設定用!$B$7*N$3+職員設定用!$B$8)
+IF(職員設定用!$C$5*$C15*100+職員設定用!$C$7*N$3+職員設定用!$C$8&gt;=職員設定用!$C$10,職員設定用!$C$10,職員設定用!$C$5*$C15*100+職員設定用!$C$7*N$3+職員設定用!$C$8)
+IF(職員設定用!$D$5*$C15*100+職員設定用!$D$7*N$3+職員設定用!$D$8&gt;=職員設定用!$D$10,職員設定用!$D$10,職員設定用!$D$5*$C15*100+職員設定用!$D$7*N$3+職員設定用!$D$8)
+IF(職員設定用!$E$5*$C15*100+職員設定用!$E$7*N$3+職員設定用!$E$8+職員設定用!$E$9*N$3&gt;=職員設定用!$E$10,職員設定用!$E$10,職員設定用!$E$5*$C15*100+職員設定用!$E$7*N$3+職員設定用!$E$8+職員設定用!$E$9*N$3)</f>
        <v>950835</v>
      </c>
      <c r="O15" s="215">
        <f t="shared" ref="O15" si="76">ROUNDUP(N15/12,-2)</f>
        <v>79300</v>
      </c>
      <c r="P15" s="207">
        <f>IF(職員設定用!$B$5*$C15*100+職員設定用!$B$7*P$3+職員設定用!$B$8&gt;=職員設定用!$B$10,職員設定用!$B$10,職員設定用!$B$5*$C15*100+職員設定用!$B$7*P$3+職員設定用!$B$8)
+IF(職員設定用!$C$5*$C15*100+職員設定用!$C$7*P$3+職員設定用!$C$8&gt;=職員設定用!$C$10,職員設定用!$C$10,職員設定用!$C$5*$C15*100+職員設定用!$C$7*P$3+職員設定用!$C$8)
+IF(職員設定用!$D$5*$C15*100+職員設定用!$D$7*P$3+職員設定用!$D$8&gt;=職員設定用!$D$10,職員設定用!$D$10,職員設定用!$D$5*$C15*100+職員設定用!$D$7*P$3+職員設定用!$D$8)
+IF(職員設定用!$E$5*$C15*100+職員設定用!$E$7*P$3+職員設定用!$E$8+職員設定用!$E$9*P$3&gt;=職員設定用!$E$10,職員設定用!$E$10,職員設定用!$E$5*$C15*100+職員設定用!$E$7*P$3+職員設定用!$E$8+職員設定用!$E$9*P$3)</f>
        <v>995635</v>
      </c>
      <c r="Q15" s="215">
        <f t="shared" ref="Q15" si="77">ROUNDUP(P15/12,-2)</f>
        <v>83000</v>
      </c>
      <c r="R15" s="207">
        <f>IF(職員設定用!$B$5*$C15*100+職員設定用!$B$7*R$3+職員設定用!$B$8&gt;=職員設定用!$B$10,職員設定用!$B$10,職員設定用!$B$5*$C15*100+職員設定用!$B$7*R$3+職員設定用!$B$8)
+IF(職員設定用!$C$5*$C15*100+職員設定用!$C$7*R$3+職員設定用!$C$8&gt;=職員設定用!$C$10,職員設定用!$C$10,職員設定用!$C$5*$C15*100+職員設定用!$C$7*R$3+職員設定用!$C$8)
+IF(職員設定用!$D$5*$C15*100+職員設定用!$D$7*R$3+職員設定用!$D$8&gt;=職員設定用!$D$10,職員設定用!$D$10,職員設定用!$D$5*$C15*100+職員設定用!$D$7*R$3+職員設定用!$D$8)
+IF(職員設定用!$E$5*$C15*100+職員設定用!$E$7*R$3+職員設定用!$E$8+職員設定用!$E$9*R$3&gt;=職員設定用!$E$10,職員設定用!$E$10,職員設定用!$E$5*$C15*100+職員設定用!$E$7*R$3+職員設定用!$E$8+職員設定用!$E$9*R$3)</f>
        <v>1040435</v>
      </c>
      <c r="S15" s="215">
        <f t="shared" ref="S15" si="78">ROUNDUP(R15/12,-2)</f>
        <v>86800</v>
      </c>
      <c r="T15" s="207">
        <f>IF(職員設定用!$B$5*$C15*100+職員設定用!$B$7*T$3+職員設定用!$B$8&gt;=職員設定用!$B$10,職員設定用!$B$10,職員設定用!$B$5*$C15*100+職員設定用!$B$7*T$3+職員設定用!$B$8)
+IF(職員設定用!$C$5*$C15*100+職員設定用!$C$7*T$3+職員設定用!$C$8&gt;=職員設定用!$C$10,職員設定用!$C$10,職員設定用!$C$5*$C15*100+職員設定用!$C$7*T$3+職員設定用!$C$8)
+IF(職員設定用!$D$5*$C15*100+職員設定用!$D$7*T$3+職員設定用!$D$8&gt;=職員設定用!$D$10,職員設定用!$D$10,職員設定用!$D$5*$C15*100+職員設定用!$D$7*T$3+職員設定用!$D$8)
+IF(職員設定用!$E$5*$C15*100+職員設定用!$E$7*T$3+職員設定用!$E$8+職員設定用!$E$9*T$3&gt;=職員設定用!$E$10,職員設定用!$E$10,職員設定用!$E$5*$C15*100+職員設定用!$E$7*T$3+職員設定用!$E$8+職員設定用!$E$9*T$3)</f>
        <v>1085235</v>
      </c>
      <c r="U15" s="215">
        <f t="shared" ref="U15" si="79">ROUNDUP(T15/12,-2)</f>
        <v>90500</v>
      </c>
      <c r="V15" s="207">
        <f>IF(職員設定用!$B$5*$C15*100+職員設定用!$B$7*V$3+職員設定用!$B$8&gt;=職員設定用!$B$10,職員設定用!$B$10,職員設定用!$B$5*$C15*100+職員設定用!$B$7*V$3+職員設定用!$B$8)
+IF(職員設定用!$C$5*$C15*100+職員設定用!$C$7*V$3+職員設定用!$C$8&gt;=職員設定用!$C$10,職員設定用!$C$10,職員設定用!$C$5*$C15*100+職員設定用!$C$7*V$3+職員設定用!$C$8)
+IF(職員設定用!$D$5*$C15*100+職員設定用!$D$7*V$3+職員設定用!$D$8&gt;=職員設定用!$D$10,職員設定用!$D$10,職員設定用!$D$5*$C15*100+職員設定用!$D$7*V$3+職員設定用!$D$8)
+IF(職員設定用!$E$5*$C15*100+職員設定用!$E$7*V$3+職員設定用!$E$8+職員設定用!$E$9*V$3&gt;=職員設定用!$E$10,職員設定用!$E$10,職員設定用!$E$5*$C15*100+職員設定用!$E$7*V$3+職員設定用!$E$8+職員設定用!$E$9*V$3)</f>
        <v>1102630</v>
      </c>
      <c r="W15" s="215">
        <f t="shared" ref="W15" si="80">ROUNDUP(V15/12,-2)</f>
        <v>91900</v>
      </c>
    </row>
    <row r="16" spans="2:23" ht="22.5" customHeight="1">
      <c r="B16" s="212">
        <v>550</v>
      </c>
      <c r="C16" s="218">
        <f>IF(B16-職員設定用!$B$19/10000&gt;0,B16-職員設定用!$B$19/10000,0)</f>
        <v>507</v>
      </c>
      <c r="D16" s="207">
        <f>IF(職員設定用!$B$5*$C16*100+職員設定用!$B$7*D$3+職員設定用!$B$8&gt;=職員設定用!$B$10,職員設定用!$B$10,職員設定用!$B$5*$C16*100+職員設定用!$B$7*D$3+職員設定用!$B$8)
+IF(職員設定用!$C$5*$C16*100+職員設定用!$C$7*D$3+職員設定用!$C$8&gt;=職員設定用!$C$10,職員設定用!$C$10,職員設定用!$C$5*$C16*100+職員設定用!$C$7*D$3+職員設定用!$C$8)
+IF(職員設定用!$D$5*$C16*100+職員設定用!$D$7*D$3+職員設定用!$D$8&gt;=職員設定用!$D$10,職員設定用!$D$10,職員設定用!$D$5*$C16*100+職員設定用!$D$7*D$3+職員設定用!$D$8)
+IF(職員設定用!$E$5*$C16*100+職員設定用!$E$7*D$3+職員設定用!$E$8+職員設定用!$E$9*D$3&gt;=職員設定用!$E$10,職員設定用!$E$10,職員設定用!$E$5*$C16*100+職員設定用!$E$7*D$3+職員設定用!$E$8+職員設定用!$E$9*D$3)</f>
        <v>741874</v>
      </c>
      <c r="E16" s="215">
        <f t="shared" si="0"/>
        <v>61900</v>
      </c>
      <c r="F16" s="207">
        <f>IF(職員設定用!$B$5*$C16*100+職員設定用!$B$7*F$3+職員設定用!$B$8&gt;=職員設定用!$B$10,職員設定用!$B$10,職員設定用!$B$5*$C16*100+職員設定用!$B$7*F$3+職員設定用!$B$8)
+IF(職員設定用!$C$5*$C16*100+職員設定用!$C$7*F$3+職員設定用!$C$8&gt;=職員設定用!$C$10,職員設定用!$C$10,職員設定用!$C$5*$C16*100+職員設定用!$C$7*F$3+職員設定用!$C$8)
+IF(職員設定用!$D$5*$C16*100+職員設定用!$D$7*F$3+職員設定用!$D$8&gt;=職員設定用!$D$10,職員設定用!$D$10,職員設定用!$D$5*$C16*100+職員設定用!$D$7*F$3+職員設定用!$D$8)
+IF(職員設定用!$E$5*$C16*100+職員設定用!$E$7*F$3+職員設定用!$E$8+職員設定用!$E$9*F$3&gt;=職員設定用!$E$10,職員設定用!$E$10,職員設定用!$E$5*$C16*100+職員設定用!$E$7*F$3+職員設定用!$E$8+職員設定用!$E$9*F$3)</f>
        <v>798174</v>
      </c>
      <c r="G16" s="215">
        <f t="shared" si="0"/>
        <v>66600</v>
      </c>
      <c r="H16" s="207">
        <f>IF(職員設定用!$B$5*$C16*100+職員設定用!$B$7*H$3+職員設定用!$B$8&gt;=職員設定用!$B$10,職員設定用!$B$10,職員設定用!$B$5*$C16*100+職員設定用!$B$7*H$3+職員設定用!$B$8)
+IF(職員設定用!$C$5*$C16*100+職員設定用!$C$7*H$3+職員設定用!$C$8&gt;=職員設定用!$C$10,職員設定用!$C$10,職員設定用!$C$5*$C16*100+職員設定用!$C$7*H$3+職員設定用!$C$8)
+IF(職員設定用!$D$5*$C16*100+職員設定用!$D$7*H$3+職員設定用!$D$8&gt;=職員設定用!$D$10,職員設定用!$D$10,職員設定用!$D$5*$C16*100+職員設定用!$D$7*H$3+職員設定用!$D$8)
+IF(職員設定用!$E$5*$C16*100+職員設定用!$E$7*H$3+職員設定用!$E$8+職員設定用!$E$9*H$3&gt;=職員設定用!$E$10,職員設定用!$E$10,職員設定用!$E$5*$C16*100+職員設定用!$E$7*H$3+職員設定用!$E$8+職員設定用!$E$9*H$3)</f>
        <v>854474</v>
      </c>
      <c r="I16" s="215">
        <f t="shared" ref="I16" si="81">ROUNDUP(H16/12,-2)</f>
        <v>71300</v>
      </c>
      <c r="J16" s="207">
        <f>IF(職員設定用!$B$5*$C16*100+職員設定用!$B$7*J$3+職員設定用!$B$8&gt;=職員設定用!$B$10,職員設定用!$B$10,職員設定用!$B$5*$C16*100+職員設定用!$B$7*J$3+職員設定用!$B$8)
+IF(職員設定用!$C$5*$C16*100+職員設定用!$C$7*J$3+職員設定用!$C$8&gt;=職員設定用!$C$10,職員設定用!$C$10,職員設定用!$C$5*$C16*100+職員設定用!$C$7*J$3+職員設定用!$C$8)
+IF(職員設定用!$D$5*$C16*100+職員設定用!$D$7*J$3+職員設定用!$D$8&gt;=職員設定用!$D$10,職員設定用!$D$10,職員設定用!$D$5*$C16*100+職員設定用!$D$7*J$3+職員設定用!$D$8)
+IF(職員設定用!$E$5*$C16*100+職員設定用!$E$7*J$3+職員設定用!$E$8+職員設定用!$E$9*J$3&gt;=職員設定用!$E$10,職員設定用!$E$10,職員設定用!$E$5*$C16*100+職員設定用!$E$7*J$3+職員設定用!$E$8+職員設定用!$E$9*J$3)</f>
        <v>910774</v>
      </c>
      <c r="K16" s="215">
        <f t="shared" ref="K16" si="82">ROUNDUP(J16/12,-2)</f>
        <v>75900</v>
      </c>
      <c r="L16" s="207">
        <f>IF(職員設定用!$B$5*$C16*100+職員設定用!$B$7*L$3+職員設定用!$B$8&gt;=職員設定用!$B$10,職員設定用!$B$10,職員設定用!$B$5*$C16*100+職員設定用!$B$7*L$3+職員設定用!$B$8)
+IF(職員設定用!$C$5*$C16*100+職員設定用!$C$7*L$3+職員設定用!$C$8&gt;=職員設定用!$C$10,職員設定用!$C$10,職員設定用!$C$5*$C16*100+職員設定用!$C$7*L$3+職員設定用!$C$8)
+IF(職員設定用!$D$5*$C16*100+職員設定用!$D$7*L$3+職員設定用!$D$8&gt;=職員設定用!$D$10,職員設定用!$D$10,職員設定用!$D$5*$C16*100+職員設定用!$D$7*L$3+職員設定用!$D$8)
+IF(職員設定用!$E$5*$C16*100+職員設定用!$E$7*L$3+職員設定用!$E$8+職員設定用!$E$9*L$3&gt;=職員設定用!$E$10,職員設定用!$E$10,職員設定用!$E$5*$C16*100+職員設定用!$E$7*L$3+職員設定用!$E$8+職員設定用!$E$9*L$3)</f>
        <v>958785</v>
      </c>
      <c r="M16" s="215">
        <f t="shared" ref="M16" si="83">ROUNDUP(L16/12,-2)</f>
        <v>79900</v>
      </c>
      <c r="N16" s="207">
        <f>IF(職員設定用!$B$5*$C16*100+職員設定用!$B$7*N$3+職員設定用!$B$8&gt;=職員設定用!$B$10,職員設定用!$B$10,職員設定用!$B$5*$C16*100+職員設定用!$B$7*N$3+職員設定用!$B$8)
+IF(職員設定用!$C$5*$C16*100+職員設定用!$C$7*N$3+職員設定用!$C$8&gt;=職員設定用!$C$10,職員設定用!$C$10,職員設定用!$C$5*$C16*100+職員設定用!$C$7*N$3+職員設定用!$C$8)
+IF(職員設定用!$D$5*$C16*100+職員設定用!$D$7*N$3+職員設定用!$D$8&gt;=職員設定用!$D$10,職員設定用!$D$10,職員設定用!$D$5*$C16*100+職員設定用!$D$7*N$3+職員設定用!$D$8)
+IF(職員設定用!$E$5*$C16*100+職員設定用!$E$7*N$3+職員設定用!$E$8+職員設定用!$E$9*N$3&gt;=職員設定用!$E$10,職員設定用!$E$10,職員設定用!$E$5*$C16*100+職員設定用!$E$7*N$3+職員設定用!$E$8+職員設定用!$E$9*N$3)</f>
        <v>1003585</v>
      </c>
      <c r="O16" s="215">
        <f t="shared" ref="O16" si="84">ROUNDUP(N16/12,-2)</f>
        <v>83700</v>
      </c>
      <c r="P16" s="207">
        <f>IF(職員設定用!$B$5*$C16*100+職員設定用!$B$7*P$3+職員設定用!$B$8&gt;=職員設定用!$B$10,職員設定用!$B$10,職員設定用!$B$5*$C16*100+職員設定用!$B$7*P$3+職員設定用!$B$8)
+IF(職員設定用!$C$5*$C16*100+職員設定用!$C$7*P$3+職員設定用!$C$8&gt;=職員設定用!$C$10,職員設定用!$C$10,職員設定用!$C$5*$C16*100+職員設定用!$C$7*P$3+職員設定用!$C$8)
+IF(職員設定用!$D$5*$C16*100+職員設定用!$D$7*P$3+職員設定用!$D$8&gt;=職員設定用!$D$10,職員設定用!$D$10,職員設定用!$D$5*$C16*100+職員設定用!$D$7*P$3+職員設定用!$D$8)
+IF(職員設定用!$E$5*$C16*100+職員設定用!$E$7*P$3+職員設定用!$E$8+職員設定用!$E$9*P$3&gt;=職員設定用!$E$10,職員設定用!$E$10,職員設定用!$E$5*$C16*100+職員設定用!$E$7*P$3+職員設定用!$E$8+職員設定用!$E$9*P$3)</f>
        <v>1048385</v>
      </c>
      <c r="Q16" s="215">
        <f t="shared" ref="Q16" si="85">ROUNDUP(P16/12,-2)</f>
        <v>87400</v>
      </c>
      <c r="R16" s="207">
        <f>IF(職員設定用!$B$5*$C16*100+職員設定用!$B$7*R$3+職員設定用!$B$8&gt;=職員設定用!$B$10,職員設定用!$B$10,職員設定用!$B$5*$C16*100+職員設定用!$B$7*R$3+職員設定用!$B$8)
+IF(職員設定用!$C$5*$C16*100+職員設定用!$C$7*R$3+職員設定用!$C$8&gt;=職員設定用!$C$10,職員設定用!$C$10,職員設定用!$C$5*$C16*100+職員設定用!$C$7*R$3+職員設定用!$C$8)
+IF(職員設定用!$D$5*$C16*100+職員設定用!$D$7*R$3+職員設定用!$D$8&gt;=職員設定用!$D$10,職員設定用!$D$10,職員設定用!$D$5*$C16*100+職員設定用!$D$7*R$3+職員設定用!$D$8)
+IF(職員設定用!$E$5*$C16*100+職員設定用!$E$7*R$3+職員設定用!$E$8+職員設定用!$E$9*R$3&gt;=職員設定用!$E$10,職員設定用!$E$10,職員設定用!$E$5*$C16*100+職員設定用!$E$7*R$3+職員設定用!$E$8+職員設定用!$E$9*R$3)</f>
        <v>1092730</v>
      </c>
      <c r="S16" s="215">
        <f t="shared" ref="S16" si="86">ROUNDUP(R16/12,-2)</f>
        <v>91100</v>
      </c>
      <c r="T16" s="207">
        <f>IF(職員設定用!$B$5*$C16*100+職員設定用!$B$7*T$3+職員設定用!$B$8&gt;=職員設定用!$B$10,職員設定用!$B$10,職員設定用!$B$5*$C16*100+職員設定用!$B$7*T$3+職員設定用!$B$8)
+IF(職員設定用!$C$5*$C16*100+職員設定用!$C$7*T$3+職員設定用!$C$8&gt;=職員設定用!$C$10,職員設定用!$C$10,職員設定用!$C$5*$C16*100+職員設定用!$C$7*T$3+職員設定用!$C$8)
+IF(職員設定用!$D$5*$C16*100+職員設定用!$D$7*T$3+職員設定用!$D$8&gt;=職員設定用!$D$10,職員設定用!$D$10,職員設定用!$D$5*$C16*100+職員設定用!$D$7*T$3+職員設定用!$D$8)
+IF(職員設定用!$E$5*$C16*100+職員設定用!$E$7*T$3+職員設定用!$E$8+職員設定用!$E$9*T$3&gt;=職員設定用!$E$10,職員設定用!$E$10,職員設定用!$E$5*$C16*100+職員設定用!$E$7*T$3+職員設定用!$E$8+職員設定用!$E$9*T$3)</f>
        <v>1104930</v>
      </c>
      <c r="U16" s="215">
        <f t="shared" ref="U16" si="87">ROUNDUP(T16/12,-2)</f>
        <v>92100</v>
      </c>
      <c r="V16" s="207">
        <f>IF(職員設定用!$B$5*$C16*100+職員設定用!$B$7*V$3+職員設定用!$B$8&gt;=職員設定用!$B$10,職員設定用!$B$10,職員設定用!$B$5*$C16*100+職員設定用!$B$7*V$3+職員設定用!$B$8)
+IF(職員設定用!$C$5*$C16*100+職員設定用!$C$7*V$3+職員設定用!$C$8&gt;=職員設定用!$C$10,職員設定用!$C$10,職員設定用!$C$5*$C16*100+職員設定用!$C$7*V$3+職員設定用!$C$8)
+IF(職員設定用!$D$5*$C16*100+職員設定用!$D$7*V$3+職員設定用!$D$8&gt;=職員設定用!$D$10,職員設定用!$D$10,職員設定用!$D$5*$C16*100+職員設定用!$D$7*V$3+職員設定用!$D$8)
+IF(職員設定用!$E$5*$C16*100+職員設定用!$E$7*V$3+職員設定用!$E$8+職員設定用!$E$9*V$3&gt;=職員設定用!$E$10,職員設定用!$E$10,職員設定用!$E$5*$C16*100+職員設定用!$E$7*V$3+職員設定用!$E$8+職員設定用!$E$9*V$3)</f>
        <v>1117130</v>
      </c>
      <c r="W16" s="215">
        <f t="shared" ref="W16" si="88">ROUNDUP(V16/12,-2)</f>
        <v>93100</v>
      </c>
    </row>
    <row r="17" spans="2:23" ht="22.5" customHeight="1">
      <c r="B17" s="212">
        <v>600</v>
      </c>
      <c r="C17" s="218">
        <f>IF(B17-職員設定用!$B$19/10000&gt;0,B17-職員設定用!$B$19/10000,0)</f>
        <v>557</v>
      </c>
      <c r="D17" s="207">
        <f>IF(職員設定用!$B$5*$C17*100+職員設定用!$B$7*D$3+職員設定用!$B$8&gt;=職員設定用!$B$10,職員設定用!$B$10,職員設定用!$B$5*$C17*100+職員設定用!$B$7*D$3+職員設定用!$B$8)
+IF(職員設定用!$C$5*$C17*100+職員設定用!$C$7*D$3+職員設定用!$C$8&gt;=職員設定用!$C$10,職員設定用!$C$10,職員設定用!$C$5*$C17*100+職員設定用!$C$7*D$3+職員設定用!$C$8)
+IF(職員設定用!$D$5*$C17*100+職員設定用!$D$7*D$3+職員設定用!$D$8&gt;=職員設定用!$D$10,職員設定用!$D$10,職員設定用!$D$5*$C17*100+職員設定用!$D$7*D$3+職員設定用!$D$8)
+IF(職員設定用!$E$5*$C17*100+職員設定用!$E$7*D$3+職員設定用!$E$8+職員設定用!$E$9*D$3&gt;=職員設定用!$E$10,職員設定用!$E$10,職員設定用!$E$5*$C17*100+職員設定用!$E$7*D$3+職員設定用!$E$8+職員設定用!$E$9*D$3)</f>
        <v>805974</v>
      </c>
      <c r="E17" s="215">
        <f t="shared" si="0"/>
        <v>67200</v>
      </c>
      <c r="F17" s="207">
        <f>IF(職員設定用!$B$5*$C17*100+職員設定用!$B$7*F$3+職員設定用!$B$8&gt;=職員設定用!$B$10,職員設定用!$B$10,職員設定用!$B$5*$C17*100+職員設定用!$B$7*F$3+職員設定用!$B$8)
+IF(職員設定用!$C$5*$C17*100+職員設定用!$C$7*F$3+職員設定用!$C$8&gt;=職員設定用!$C$10,職員設定用!$C$10,職員設定用!$C$5*$C17*100+職員設定用!$C$7*F$3+職員設定用!$C$8)
+IF(職員設定用!$D$5*$C17*100+職員設定用!$D$7*F$3+職員設定用!$D$8&gt;=職員設定用!$D$10,職員設定用!$D$10,職員設定用!$D$5*$C17*100+職員設定用!$D$7*F$3+職員設定用!$D$8)
+IF(職員設定用!$E$5*$C17*100+職員設定用!$E$7*F$3+職員設定用!$E$8+職員設定用!$E$9*F$3&gt;=職員設定用!$E$10,職員設定用!$E$10,職員設定用!$E$5*$C17*100+職員設定用!$E$7*F$3+職員設定用!$E$8+職員設定用!$E$9*F$3)</f>
        <v>862274</v>
      </c>
      <c r="G17" s="215">
        <f t="shared" si="0"/>
        <v>71900</v>
      </c>
      <c r="H17" s="207">
        <f>IF(職員設定用!$B$5*$C17*100+職員設定用!$B$7*H$3+職員設定用!$B$8&gt;=職員設定用!$B$10,職員設定用!$B$10,職員設定用!$B$5*$C17*100+職員設定用!$B$7*H$3+職員設定用!$B$8)
+IF(職員設定用!$C$5*$C17*100+職員設定用!$C$7*H$3+職員設定用!$C$8&gt;=職員設定用!$C$10,職員設定用!$C$10,職員設定用!$C$5*$C17*100+職員設定用!$C$7*H$3+職員設定用!$C$8)
+IF(職員設定用!$D$5*$C17*100+職員設定用!$D$7*H$3+職員設定用!$D$8&gt;=職員設定用!$D$10,職員設定用!$D$10,職員設定用!$D$5*$C17*100+職員設定用!$D$7*H$3+職員設定用!$D$8)
+IF(職員設定用!$E$5*$C17*100+職員設定用!$E$7*H$3+職員設定用!$E$8+職員設定用!$E$9*H$3&gt;=職員設定用!$E$10,職員設定用!$E$10,職員設定用!$E$5*$C17*100+職員設定用!$E$7*H$3+職員設定用!$E$8+職員設定用!$E$9*H$3)</f>
        <v>918574</v>
      </c>
      <c r="I17" s="215">
        <f t="shared" ref="I17" si="89">ROUNDUP(H17/12,-2)</f>
        <v>76600</v>
      </c>
      <c r="J17" s="207">
        <f>IF(職員設定用!$B$5*$C17*100+職員設定用!$B$7*J$3+職員設定用!$B$8&gt;=職員設定用!$B$10,職員設定用!$B$10,職員設定用!$B$5*$C17*100+職員設定用!$B$7*J$3+職員設定用!$B$8)
+IF(職員設定用!$C$5*$C17*100+職員設定用!$C$7*J$3+職員設定用!$C$8&gt;=職員設定用!$C$10,職員設定用!$C$10,職員設定用!$C$5*$C17*100+職員設定用!$C$7*J$3+職員設定用!$C$8)
+IF(職員設定用!$D$5*$C17*100+職員設定用!$D$7*J$3+職員設定用!$D$8&gt;=職員設定用!$D$10,職員設定用!$D$10,職員設定用!$D$5*$C17*100+職員設定用!$D$7*J$3+職員設定用!$D$8)
+IF(職員設定用!$E$5*$C17*100+職員設定用!$E$7*J$3+職員設定用!$E$8+職員設定用!$E$9*J$3&gt;=職員設定用!$E$10,職員設定用!$E$10,職員設定用!$E$5*$C17*100+職員設定用!$E$7*J$3+職員設定用!$E$8+職員設定用!$E$9*J$3)</f>
        <v>966735</v>
      </c>
      <c r="K17" s="215">
        <f t="shared" ref="K17" si="90">ROUNDUP(J17/12,-2)</f>
        <v>80600</v>
      </c>
      <c r="L17" s="207">
        <f>IF(職員設定用!$B$5*$C17*100+職員設定用!$B$7*L$3+職員設定用!$B$8&gt;=職員設定用!$B$10,職員設定用!$B$10,職員設定用!$B$5*$C17*100+職員設定用!$B$7*L$3+職員設定用!$B$8)
+IF(職員設定用!$C$5*$C17*100+職員設定用!$C$7*L$3+職員設定用!$C$8&gt;=職員設定用!$C$10,職員設定用!$C$10,職員設定用!$C$5*$C17*100+職員設定用!$C$7*L$3+職員設定用!$C$8)
+IF(職員設定用!$D$5*$C17*100+職員設定用!$D$7*L$3+職員設定用!$D$8&gt;=職員設定用!$D$10,職員設定用!$D$10,職員設定用!$D$5*$C17*100+職員設定用!$D$7*L$3+職員設定用!$D$8)
+IF(職員設定用!$E$5*$C17*100+職員設定用!$E$7*L$3+職員設定用!$E$8+職員設定用!$E$9*L$3&gt;=職員設定用!$E$10,職員設定用!$E$10,職員設定用!$E$5*$C17*100+職員設定用!$E$7*L$3+職員設定用!$E$8+職員設定用!$E$9*L$3)</f>
        <v>1011535</v>
      </c>
      <c r="M17" s="215">
        <f t="shared" ref="M17" si="91">ROUNDUP(L17/12,-2)</f>
        <v>84300</v>
      </c>
      <c r="N17" s="207">
        <f>IF(職員設定用!$B$5*$C17*100+職員設定用!$B$7*N$3+職員設定用!$B$8&gt;=職員設定用!$B$10,職員設定用!$B$10,職員設定用!$B$5*$C17*100+職員設定用!$B$7*N$3+職員設定用!$B$8)
+IF(職員設定用!$C$5*$C17*100+職員設定用!$C$7*N$3+職員設定用!$C$8&gt;=職員設定用!$C$10,職員設定用!$C$10,職員設定用!$C$5*$C17*100+職員設定用!$C$7*N$3+職員設定用!$C$8)
+IF(職員設定用!$D$5*$C17*100+職員設定用!$D$7*N$3+職員設定用!$D$8&gt;=職員設定用!$D$10,職員設定用!$D$10,職員設定用!$D$5*$C17*100+職員設定用!$D$7*N$3+職員設定用!$D$8)
+IF(職員設定用!$E$5*$C17*100+職員設定用!$E$7*N$3+職員設定用!$E$8+職員設定用!$E$9*N$3&gt;=職員設定用!$E$10,職員設定用!$E$10,職員設定用!$E$5*$C17*100+職員設定用!$E$7*N$3+職員設定用!$E$8+職員設定用!$E$9*N$3)</f>
        <v>1056335</v>
      </c>
      <c r="O17" s="215">
        <f t="shared" ref="O17" si="92">ROUNDUP(N17/12,-2)</f>
        <v>88100</v>
      </c>
      <c r="P17" s="207">
        <f>IF(職員設定用!$B$5*$C17*100+職員設定用!$B$7*P$3+職員設定用!$B$8&gt;=職員設定用!$B$10,職員設定用!$B$10,職員設定用!$B$5*$C17*100+職員設定用!$B$7*P$3+職員設定用!$B$8)
+IF(職員設定用!$C$5*$C17*100+職員設定用!$C$7*P$3+職員設定用!$C$8&gt;=職員設定用!$C$10,職員設定用!$C$10,職員設定用!$C$5*$C17*100+職員設定用!$C$7*P$3+職員設定用!$C$8)
+IF(職員設定用!$D$5*$C17*100+職員設定用!$D$7*P$3+職員設定用!$D$8&gt;=職員設定用!$D$10,職員設定用!$D$10,職員設定用!$D$5*$C17*100+職員設定用!$D$7*P$3+職員設定用!$D$8)
+IF(職員設定用!$E$5*$C17*100+職員設定用!$E$7*P$3+職員設定用!$E$8+職員設定用!$E$9*P$3&gt;=職員設定用!$E$10,職員設定用!$E$10,職員設定用!$E$5*$C17*100+職員設定用!$E$7*P$3+職員設定用!$E$8+職員設定用!$E$9*P$3)</f>
        <v>1095030</v>
      </c>
      <c r="Q17" s="215">
        <f t="shared" ref="Q17" si="93">ROUNDUP(P17/12,-2)</f>
        <v>91300</v>
      </c>
      <c r="R17" s="207">
        <f>IF(職員設定用!$B$5*$C17*100+職員設定用!$B$7*R$3+職員設定用!$B$8&gt;=職員設定用!$B$10,職員設定用!$B$10,職員設定用!$B$5*$C17*100+職員設定用!$B$7*R$3+職員設定用!$B$8)
+IF(職員設定用!$C$5*$C17*100+職員設定用!$C$7*R$3+職員設定用!$C$8&gt;=職員設定用!$C$10,職員設定用!$C$10,職員設定用!$C$5*$C17*100+職員設定用!$C$7*R$3+職員設定用!$C$8)
+IF(職員設定用!$D$5*$C17*100+職員設定用!$D$7*R$3+職員設定用!$D$8&gt;=職員設定用!$D$10,職員設定用!$D$10,職員設定用!$D$5*$C17*100+職員設定用!$D$7*R$3+職員設定用!$D$8)
+IF(職員設定用!$E$5*$C17*100+職員設定用!$E$7*R$3+職員設定用!$E$8+職員設定用!$E$9*R$3&gt;=職員設定用!$E$10,職員設定用!$E$10,職員設定用!$E$5*$C17*100+職員設定用!$E$7*R$3+職員設定用!$E$8+職員設定用!$E$9*R$3)</f>
        <v>1107230</v>
      </c>
      <c r="S17" s="215">
        <f t="shared" ref="S17" si="94">ROUNDUP(R17/12,-2)</f>
        <v>92300</v>
      </c>
      <c r="T17" s="207">
        <f>IF(職員設定用!$B$5*$C17*100+職員設定用!$B$7*T$3+職員設定用!$B$8&gt;=職員設定用!$B$10,職員設定用!$B$10,職員設定用!$B$5*$C17*100+職員設定用!$B$7*T$3+職員設定用!$B$8)
+IF(職員設定用!$C$5*$C17*100+職員設定用!$C$7*T$3+職員設定用!$C$8&gt;=職員設定用!$C$10,職員設定用!$C$10,職員設定用!$C$5*$C17*100+職員設定用!$C$7*T$3+職員設定用!$C$8)
+IF(職員設定用!$D$5*$C17*100+職員設定用!$D$7*T$3+職員設定用!$D$8&gt;=職員設定用!$D$10,職員設定用!$D$10,職員設定用!$D$5*$C17*100+職員設定用!$D$7*T$3+職員設定用!$D$8)
+IF(職員設定用!$E$5*$C17*100+職員設定用!$E$7*T$3+職員設定用!$E$8+職員設定用!$E$9*T$3&gt;=職員設定用!$E$10,職員設定用!$E$10,職員設定用!$E$5*$C17*100+職員設定用!$E$7*T$3+職員設定用!$E$8+職員設定用!$E$9*T$3)</f>
        <v>1119430</v>
      </c>
      <c r="U17" s="215">
        <f t="shared" ref="U17" si="95">ROUNDUP(T17/12,-2)</f>
        <v>93300</v>
      </c>
      <c r="V17" s="207">
        <f>IF(職員設定用!$B$5*$C17*100+職員設定用!$B$7*V$3+職員設定用!$B$8&gt;=職員設定用!$B$10,職員設定用!$B$10,職員設定用!$B$5*$C17*100+職員設定用!$B$7*V$3+職員設定用!$B$8)
+IF(職員設定用!$C$5*$C17*100+職員設定用!$C$7*V$3+職員設定用!$C$8&gt;=職員設定用!$C$10,職員設定用!$C$10,職員設定用!$C$5*$C17*100+職員設定用!$C$7*V$3+職員設定用!$C$8)
+IF(職員設定用!$D$5*$C17*100+職員設定用!$D$7*V$3+職員設定用!$D$8&gt;=職員設定用!$D$10,職員設定用!$D$10,職員設定用!$D$5*$C17*100+職員設定用!$D$7*V$3+職員設定用!$D$8)
+IF(職員設定用!$E$5*$C17*100+職員設定用!$E$7*V$3+職員設定用!$E$8+職員設定用!$E$9*V$3&gt;=職員設定用!$E$10,職員設定用!$E$10,職員設定用!$E$5*$C17*100+職員設定用!$E$7*V$3+職員設定用!$E$8+職員設定用!$E$9*V$3)</f>
        <v>1129953</v>
      </c>
      <c r="W17" s="215">
        <f t="shared" ref="W17" si="96">ROUNDUP(V17/12,-2)</f>
        <v>94200</v>
      </c>
    </row>
    <row r="18" spans="2:23" ht="22.5" customHeight="1">
      <c r="B18" s="212">
        <v>650</v>
      </c>
      <c r="C18" s="218">
        <f>IF(B18-職員設定用!$B$19/10000&gt;0,B18-職員設定用!$B$19/10000,0)</f>
        <v>607</v>
      </c>
      <c r="D18" s="207">
        <f>IF(職員設定用!$B$5*$C18*100+職員設定用!$B$7*D$3+職員設定用!$B$8&gt;=職員設定用!$B$10,職員設定用!$B$10,職員設定用!$B$5*$C18*100+職員設定用!$B$7*D$3+職員設定用!$B$8)
+IF(職員設定用!$C$5*$C18*100+職員設定用!$C$7*D$3+職員設定用!$C$8&gt;=職員設定用!$C$10,職員設定用!$C$10,職員設定用!$C$5*$C18*100+職員設定用!$C$7*D$3+職員設定用!$C$8)
+IF(職員設定用!$D$5*$C18*100+職員設定用!$D$7*D$3+職員設定用!$D$8&gt;=職員設定用!$D$10,職員設定用!$D$10,職員設定用!$D$5*$C18*100+職員設定用!$D$7*D$3+職員設定用!$D$8)
+IF(職員設定用!$E$5*$C18*100+職員設定用!$E$7*D$3+職員設定用!$E$8+職員設定用!$E$9*D$3&gt;=職員設定用!$E$10,職員設定用!$E$10,職員設定用!$E$5*$C18*100+職員設定用!$E$7*D$3+職員設定用!$E$8+職員設定用!$E$9*D$3)</f>
        <v>870074</v>
      </c>
      <c r="E18" s="215">
        <f t="shared" si="0"/>
        <v>72600</v>
      </c>
      <c r="F18" s="207">
        <f>IF(職員設定用!$B$5*$C18*100+職員設定用!$B$7*F$3+職員設定用!$B$8&gt;=職員設定用!$B$10,職員設定用!$B$10,職員設定用!$B$5*$C18*100+職員設定用!$B$7*F$3+職員設定用!$B$8)
+IF(職員設定用!$C$5*$C18*100+職員設定用!$C$7*F$3+職員設定用!$C$8&gt;=職員設定用!$C$10,職員設定用!$C$10,職員設定用!$C$5*$C18*100+職員設定用!$C$7*F$3+職員設定用!$C$8)
+IF(職員設定用!$D$5*$C18*100+職員設定用!$D$7*F$3+職員設定用!$D$8&gt;=職員設定用!$D$10,職員設定用!$D$10,職員設定用!$D$5*$C18*100+職員設定用!$D$7*F$3+職員設定用!$D$8)
+IF(職員設定用!$E$5*$C18*100+職員設定用!$E$7*F$3+職員設定用!$E$8+職員設定用!$E$9*F$3&gt;=職員設定用!$E$10,職員設定用!$E$10,職員設定用!$E$5*$C18*100+職員設定用!$E$7*F$3+職員設定用!$E$8+職員設定用!$E$9*F$3)</f>
        <v>926374</v>
      </c>
      <c r="G18" s="215">
        <f t="shared" si="0"/>
        <v>77200</v>
      </c>
      <c r="H18" s="207">
        <f>IF(職員設定用!$B$5*$C18*100+職員設定用!$B$7*H$3+職員設定用!$B$8&gt;=職員設定用!$B$10,職員設定用!$B$10,職員設定用!$B$5*$C18*100+職員設定用!$B$7*H$3+職員設定用!$B$8)
+IF(職員設定用!$C$5*$C18*100+職員設定用!$C$7*H$3+職員設定用!$C$8&gt;=職員設定用!$C$10,職員設定用!$C$10,職員設定用!$C$5*$C18*100+職員設定用!$C$7*H$3+職員設定用!$C$8)
+IF(職員設定用!$D$5*$C18*100+職員設定用!$D$7*H$3+職員設定用!$D$8&gt;=職員設定用!$D$10,職員設定用!$D$10,職員設定用!$D$5*$C18*100+職員設定用!$D$7*H$3+職員設定用!$D$8)
+IF(職員設定用!$E$5*$C18*100+職員設定用!$E$7*H$3+職員設定用!$E$8+職員設定用!$E$9*H$3&gt;=職員設定用!$E$10,職員設定用!$E$10,職員設定用!$E$5*$C18*100+職員設定用!$E$7*H$3+職員設定用!$E$8+職員設定用!$E$9*H$3)</f>
        <v>974685</v>
      </c>
      <c r="I18" s="215">
        <f t="shared" ref="I18" si="97">ROUNDUP(H18/12,-2)</f>
        <v>81300</v>
      </c>
      <c r="J18" s="207">
        <f>IF(職員設定用!$B$5*$C18*100+職員設定用!$B$7*J$3+職員設定用!$B$8&gt;=職員設定用!$B$10,職員設定用!$B$10,職員設定用!$B$5*$C18*100+職員設定用!$B$7*J$3+職員設定用!$B$8)
+IF(職員設定用!$C$5*$C18*100+職員設定用!$C$7*J$3+職員設定用!$C$8&gt;=職員設定用!$C$10,職員設定用!$C$10,職員設定用!$C$5*$C18*100+職員設定用!$C$7*J$3+職員設定用!$C$8)
+IF(職員設定用!$D$5*$C18*100+職員設定用!$D$7*J$3+職員設定用!$D$8&gt;=職員設定用!$D$10,職員設定用!$D$10,職員設定用!$D$5*$C18*100+職員設定用!$D$7*J$3+職員設定用!$D$8)
+IF(職員設定用!$E$5*$C18*100+職員設定用!$E$7*J$3+職員設定用!$E$8+職員設定用!$E$9*J$3&gt;=職員設定用!$E$10,職員設定用!$E$10,職員設定用!$E$5*$C18*100+職員設定用!$E$7*J$3+職員設定用!$E$8+職員設定用!$E$9*J$3)</f>
        <v>1019485</v>
      </c>
      <c r="K18" s="215">
        <f t="shared" ref="K18" si="98">ROUNDUP(J18/12,-2)</f>
        <v>85000</v>
      </c>
      <c r="L18" s="207">
        <f>IF(職員設定用!$B$5*$C18*100+職員設定用!$B$7*L$3+職員設定用!$B$8&gt;=職員設定用!$B$10,職員設定用!$B$10,職員設定用!$B$5*$C18*100+職員設定用!$B$7*L$3+職員設定用!$B$8)
+IF(職員設定用!$C$5*$C18*100+職員設定用!$C$7*L$3+職員設定用!$C$8&gt;=職員設定用!$C$10,職員設定用!$C$10,職員設定用!$C$5*$C18*100+職員設定用!$C$7*L$3+職員設定用!$C$8)
+IF(職員設定用!$D$5*$C18*100+職員設定用!$D$7*L$3+職員設定用!$D$8&gt;=職員設定用!$D$10,職員設定用!$D$10,職員設定用!$D$5*$C18*100+職員設定用!$D$7*L$3+職員設定用!$D$8)
+IF(職員設定用!$E$5*$C18*100+職員設定用!$E$7*L$3+職員設定用!$E$8+職員設定用!$E$9*L$3&gt;=職員設定用!$E$10,職員設定用!$E$10,職員設定用!$E$5*$C18*100+職員設定用!$E$7*L$3+職員設定用!$E$8+職員設定用!$E$9*L$3)</f>
        <v>1064285</v>
      </c>
      <c r="M18" s="215">
        <f t="shared" ref="M18" si="99">ROUNDUP(L18/12,-2)</f>
        <v>88700</v>
      </c>
      <c r="N18" s="207">
        <f>IF(職員設定用!$B$5*$C18*100+職員設定用!$B$7*N$3+職員設定用!$B$8&gt;=職員設定用!$B$10,職員設定用!$B$10,職員設定用!$B$5*$C18*100+職員設定用!$B$7*N$3+職員設定用!$B$8)
+IF(職員設定用!$C$5*$C18*100+職員設定用!$C$7*N$3+職員設定用!$C$8&gt;=職員設定用!$C$10,職員設定用!$C$10,職員設定用!$C$5*$C18*100+職員設定用!$C$7*N$3+職員設定用!$C$8)
+IF(職員設定用!$D$5*$C18*100+職員設定用!$D$7*N$3+職員設定用!$D$8&gt;=職員設定用!$D$10,職員設定用!$D$10,職員設定用!$D$5*$C18*100+職員設定用!$D$7*N$3+職員設定用!$D$8)
+IF(職員設定用!$E$5*$C18*100+職員設定用!$E$7*N$3+職員設定用!$E$8+職員設定用!$E$9*N$3&gt;=職員設定用!$E$10,職員設定用!$E$10,職員設定用!$E$5*$C18*100+職員設定用!$E$7*N$3+職員設定用!$E$8+職員設定用!$E$9*N$3)</f>
        <v>1097330</v>
      </c>
      <c r="O18" s="215">
        <f t="shared" ref="O18" si="100">ROUNDUP(N18/12,-2)</f>
        <v>91500</v>
      </c>
      <c r="P18" s="207">
        <f>IF(職員設定用!$B$5*$C18*100+職員設定用!$B$7*P$3+職員設定用!$B$8&gt;=職員設定用!$B$10,職員設定用!$B$10,職員設定用!$B$5*$C18*100+職員設定用!$B$7*P$3+職員設定用!$B$8)
+IF(職員設定用!$C$5*$C18*100+職員設定用!$C$7*P$3+職員設定用!$C$8&gt;=職員設定用!$C$10,職員設定用!$C$10,職員設定用!$C$5*$C18*100+職員設定用!$C$7*P$3+職員設定用!$C$8)
+IF(職員設定用!$D$5*$C18*100+職員設定用!$D$7*P$3+職員設定用!$D$8&gt;=職員設定用!$D$10,職員設定用!$D$10,職員設定用!$D$5*$C18*100+職員設定用!$D$7*P$3+職員設定用!$D$8)
+IF(職員設定用!$E$5*$C18*100+職員設定用!$E$7*P$3+職員設定用!$E$8+職員設定用!$E$9*P$3&gt;=職員設定用!$E$10,職員設定用!$E$10,職員設定用!$E$5*$C18*100+職員設定用!$E$7*P$3+職員設定用!$E$8+職員設定用!$E$9*P$3)</f>
        <v>1109530</v>
      </c>
      <c r="Q18" s="215">
        <f t="shared" ref="Q18" si="101">ROUNDUP(P18/12,-2)</f>
        <v>92500</v>
      </c>
      <c r="R18" s="207">
        <f>IF(職員設定用!$B$5*$C18*100+職員設定用!$B$7*R$3+職員設定用!$B$8&gt;=職員設定用!$B$10,職員設定用!$B$10,職員設定用!$B$5*$C18*100+職員設定用!$B$7*R$3+職員設定用!$B$8)
+IF(職員設定用!$C$5*$C18*100+職員設定用!$C$7*R$3+職員設定用!$C$8&gt;=職員設定用!$C$10,職員設定用!$C$10,職員設定用!$C$5*$C18*100+職員設定用!$C$7*R$3+職員設定用!$C$8)
+IF(職員設定用!$D$5*$C18*100+職員設定用!$D$7*R$3+職員設定用!$D$8&gt;=職員設定用!$D$10,職員設定用!$D$10,職員設定用!$D$5*$C18*100+職員設定用!$D$7*R$3+職員設定用!$D$8)
+IF(職員設定用!$E$5*$C18*100+職員設定用!$E$7*R$3+職員設定用!$E$8+職員設定用!$E$9*R$3&gt;=職員設定用!$E$10,職員設定用!$E$10,職員設定用!$E$5*$C18*100+職員設定用!$E$7*R$3+職員設定用!$E$8+職員設定用!$E$9*R$3)</f>
        <v>1121730</v>
      </c>
      <c r="S18" s="215">
        <f t="shared" ref="S18" si="102">ROUNDUP(R18/12,-2)</f>
        <v>93500</v>
      </c>
      <c r="T18" s="207">
        <f>IF(職員設定用!$B$5*$C18*100+職員設定用!$B$7*T$3+職員設定用!$B$8&gt;=職員設定用!$B$10,職員設定用!$B$10,職員設定用!$B$5*$C18*100+職員設定用!$B$7*T$3+職員設定用!$B$8)
+IF(職員設定用!$C$5*$C18*100+職員設定用!$C$7*T$3+職員設定用!$C$8&gt;=職員設定用!$C$10,職員設定用!$C$10,職員設定用!$C$5*$C18*100+職員設定用!$C$7*T$3+職員設定用!$C$8)
+IF(職員設定用!$D$5*$C18*100+職員設定用!$D$7*T$3+職員設定用!$D$8&gt;=職員設定用!$D$10,職員設定用!$D$10,職員設定用!$D$5*$C18*100+職員設定用!$D$7*T$3+職員設定用!$D$8)
+IF(職員設定用!$E$5*$C18*100+職員設定用!$E$7*T$3+職員設定用!$E$8+職員設定用!$E$9*T$3&gt;=職員設定用!$E$10,職員設定用!$E$10,職員設定用!$E$5*$C18*100+職員設定用!$E$7*T$3+職員設定用!$E$8+職員設定用!$E$9*T$3)</f>
        <v>1130000</v>
      </c>
      <c r="U18" s="215">
        <f t="shared" ref="U18" si="103">ROUNDUP(T18/12,-2)</f>
        <v>94200</v>
      </c>
      <c r="V18" s="207">
        <f>IF(職員設定用!$B$5*$C18*100+職員設定用!$B$7*V$3+職員設定用!$B$8&gt;=職員設定用!$B$10,職員設定用!$B$10,職員設定用!$B$5*$C18*100+職員設定用!$B$7*V$3+職員設定用!$B$8)
+IF(職員設定用!$C$5*$C18*100+職員設定用!$C$7*V$3+職員設定用!$C$8&gt;=職員設定用!$C$10,職員設定用!$C$10,職員設定用!$C$5*$C18*100+職員設定用!$C$7*V$3+職員設定用!$C$8)
+IF(職員設定用!$D$5*$C18*100+職員設定用!$D$7*V$3+職員設定用!$D$8&gt;=職員設定用!$D$10,職員設定用!$D$10,職員設定用!$D$5*$C18*100+職員設定用!$D$7*V$3+職員設定用!$D$8)
+IF(職員設定用!$E$5*$C18*100+職員設定用!$E$7*V$3+職員設定用!$E$8+職員設定用!$E$9*V$3&gt;=職員設定用!$E$10,職員設定用!$E$10,職員設定用!$E$5*$C18*100+職員設定用!$E$7*V$3+職員設定用!$E$8+職員設定用!$E$9*V$3)</f>
        <v>1130000</v>
      </c>
      <c r="W18" s="215">
        <f t="shared" ref="W18" si="104">ROUNDUP(V18/12,-2)</f>
        <v>94200</v>
      </c>
    </row>
    <row r="19" spans="2:23" ht="22.5" customHeight="1">
      <c r="B19" s="212">
        <v>700</v>
      </c>
      <c r="C19" s="218">
        <f>IF(B19-職員設定用!$B$19/10000&gt;0,B19-職員設定用!$B$19/10000,0)</f>
        <v>657</v>
      </c>
      <c r="D19" s="207">
        <f>IF(職員設定用!$B$5*$C19*100+職員設定用!$B$7*D$3+職員設定用!$B$8&gt;=職員設定用!$B$10,職員設定用!$B$10,職員設定用!$B$5*$C19*100+職員設定用!$B$7*D$3+職員設定用!$B$8)
+IF(職員設定用!$C$5*$C19*100+職員設定用!$C$7*D$3+職員設定用!$C$8&gt;=職員設定用!$C$10,職員設定用!$C$10,職員設定用!$C$5*$C19*100+職員設定用!$C$7*D$3+職員設定用!$C$8)
+IF(職員設定用!$D$5*$C19*100+職員設定用!$D$7*D$3+職員設定用!$D$8&gt;=職員設定用!$D$10,職員設定用!$D$10,職員設定用!$D$5*$C19*100+職員設定用!$D$7*D$3+職員設定用!$D$8)
+IF(職員設定用!$E$5*$C19*100+職員設定用!$E$7*D$3+職員設定用!$E$8+職員設定用!$E$9*D$3&gt;=職員設定用!$E$10,職員設定用!$E$10,職員設定用!$E$5*$C19*100+職員設定用!$E$7*D$3+職員設定用!$E$8+職員設定用!$E$9*D$3)</f>
        <v>934174</v>
      </c>
      <c r="E19" s="215">
        <f t="shared" si="0"/>
        <v>77900</v>
      </c>
      <c r="F19" s="207">
        <f>IF(職員設定用!$B$5*$C19*100+職員設定用!$B$7*F$3+職員設定用!$B$8&gt;=職員設定用!$B$10,職員設定用!$B$10,職員設定用!$B$5*$C19*100+職員設定用!$B$7*F$3+職員設定用!$B$8)
+IF(職員設定用!$C$5*$C19*100+職員設定用!$C$7*F$3+職員設定用!$C$8&gt;=職員設定用!$C$10,職員設定用!$C$10,職員設定用!$C$5*$C19*100+職員設定用!$C$7*F$3+職員設定用!$C$8)
+IF(職員設定用!$D$5*$C19*100+職員設定用!$D$7*F$3+職員設定用!$D$8&gt;=職員設定用!$D$10,職員設定用!$D$10,職員設定用!$D$5*$C19*100+職員設定用!$D$7*F$3+職員設定用!$D$8)
+IF(職員設定用!$E$5*$C19*100+職員設定用!$E$7*F$3+職員設定用!$E$8+職員設定用!$E$9*F$3&gt;=職員設定用!$E$10,職員設定用!$E$10,職員設定用!$E$5*$C19*100+職員設定用!$E$7*F$3+職員設定用!$E$8+職員設定用!$E$9*F$3)</f>
        <v>982635</v>
      </c>
      <c r="G19" s="215">
        <f t="shared" si="0"/>
        <v>81900</v>
      </c>
      <c r="H19" s="207">
        <f>IF(職員設定用!$B$5*$C19*100+職員設定用!$B$7*H$3+職員設定用!$B$8&gt;=職員設定用!$B$10,職員設定用!$B$10,職員設定用!$B$5*$C19*100+職員設定用!$B$7*H$3+職員設定用!$B$8)
+IF(職員設定用!$C$5*$C19*100+職員設定用!$C$7*H$3+職員設定用!$C$8&gt;=職員設定用!$C$10,職員設定用!$C$10,職員設定用!$C$5*$C19*100+職員設定用!$C$7*H$3+職員設定用!$C$8)
+IF(職員設定用!$D$5*$C19*100+職員設定用!$D$7*H$3+職員設定用!$D$8&gt;=職員設定用!$D$10,職員設定用!$D$10,職員設定用!$D$5*$C19*100+職員設定用!$D$7*H$3+職員設定用!$D$8)
+IF(職員設定用!$E$5*$C19*100+職員設定用!$E$7*H$3+職員設定用!$E$8+職員設定用!$E$9*H$3&gt;=職員設定用!$E$10,職員設定用!$E$10,職員設定用!$E$5*$C19*100+職員設定用!$E$7*H$3+職員設定用!$E$8+職員設定用!$E$9*H$3)</f>
        <v>1027435</v>
      </c>
      <c r="I19" s="215">
        <f t="shared" ref="I19" si="105">ROUNDUP(H19/12,-2)</f>
        <v>85700</v>
      </c>
      <c r="J19" s="207">
        <f>IF(職員設定用!$B$5*$C19*100+職員設定用!$B$7*J$3+職員設定用!$B$8&gt;=職員設定用!$B$10,職員設定用!$B$10,職員設定用!$B$5*$C19*100+職員設定用!$B$7*J$3+職員設定用!$B$8)
+IF(職員設定用!$C$5*$C19*100+職員設定用!$C$7*J$3+職員設定用!$C$8&gt;=職員設定用!$C$10,職員設定用!$C$10,職員設定用!$C$5*$C19*100+職員設定用!$C$7*J$3+職員設定用!$C$8)
+IF(職員設定用!$D$5*$C19*100+職員設定用!$D$7*J$3+職員設定用!$D$8&gt;=職員設定用!$D$10,職員設定用!$D$10,職員設定用!$D$5*$C19*100+職員設定用!$D$7*J$3+職員設定用!$D$8)
+IF(職員設定用!$E$5*$C19*100+職員設定用!$E$7*J$3+職員設定用!$E$8+職員設定用!$E$9*J$3&gt;=職員設定用!$E$10,職員設定用!$E$10,職員設定用!$E$5*$C19*100+職員設定用!$E$7*J$3+職員設定用!$E$8+職員設定用!$E$9*J$3)</f>
        <v>1072235</v>
      </c>
      <c r="K19" s="215">
        <f t="shared" ref="K19" si="106">ROUNDUP(J19/12,-2)</f>
        <v>89400</v>
      </c>
      <c r="L19" s="207">
        <f>IF(職員設定用!$B$5*$C19*100+職員設定用!$B$7*L$3+職員設定用!$B$8&gt;=職員設定用!$B$10,職員設定用!$B$10,職員設定用!$B$5*$C19*100+職員設定用!$B$7*L$3+職員設定用!$B$8)
+IF(職員設定用!$C$5*$C19*100+職員設定用!$C$7*L$3+職員設定用!$C$8&gt;=職員設定用!$C$10,職員設定用!$C$10,職員設定用!$C$5*$C19*100+職員設定用!$C$7*L$3+職員設定用!$C$8)
+IF(職員設定用!$D$5*$C19*100+職員設定用!$D$7*L$3+職員設定用!$D$8&gt;=職員設定用!$D$10,職員設定用!$D$10,職員設定用!$D$5*$C19*100+職員設定用!$D$7*L$3+職員設定用!$D$8)
+IF(職員設定用!$E$5*$C19*100+職員設定用!$E$7*L$3+職員設定用!$E$8+職員設定用!$E$9*L$3&gt;=職員設定用!$E$10,職員設定用!$E$10,職員設定用!$E$5*$C19*100+職員設定用!$E$7*L$3+職員設定用!$E$8+職員設定用!$E$9*L$3)</f>
        <v>1099630</v>
      </c>
      <c r="M19" s="215">
        <f t="shared" ref="M19" si="107">ROUNDUP(L19/12,-2)</f>
        <v>91700</v>
      </c>
      <c r="N19" s="207">
        <f>IF(職員設定用!$B$5*$C19*100+職員設定用!$B$7*N$3+職員設定用!$B$8&gt;=職員設定用!$B$10,職員設定用!$B$10,職員設定用!$B$5*$C19*100+職員設定用!$B$7*N$3+職員設定用!$B$8)
+IF(職員設定用!$C$5*$C19*100+職員設定用!$C$7*N$3+職員設定用!$C$8&gt;=職員設定用!$C$10,職員設定用!$C$10,職員設定用!$C$5*$C19*100+職員設定用!$C$7*N$3+職員設定用!$C$8)
+IF(職員設定用!$D$5*$C19*100+職員設定用!$D$7*N$3+職員設定用!$D$8&gt;=職員設定用!$D$10,職員設定用!$D$10,職員設定用!$D$5*$C19*100+職員設定用!$D$7*N$3+職員設定用!$D$8)
+IF(職員設定用!$E$5*$C19*100+職員設定用!$E$7*N$3+職員設定用!$E$8+職員設定用!$E$9*N$3&gt;=職員設定用!$E$10,職員設定用!$E$10,職員設定用!$E$5*$C19*100+職員設定用!$E$7*N$3+職員設定用!$E$8+職員設定用!$E$9*N$3)</f>
        <v>1111830</v>
      </c>
      <c r="O19" s="215">
        <f t="shared" ref="O19" si="108">ROUNDUP(N19/12,-2)</f>
        <v>92700</v>
      </c>
      <c r="P19" s="207">
        <f>IF(職員設定用!$B$5*$C19*100+職員設定用!$B$7*P$3+職員設定用!$B$8&gt;=職員設定用!$B$10,職員設定用!$B$10,職員設定用!$B$5*$C19*100+職員設定用!$B$7*P$3+職員設定用!$B$8)
+IF(職員設定用!$C$5*$C19*100+職員設定用!$C$7*P$3+職員設定用!$C$8&gt;=職員設定用!$C$10,職員設定用!$C$10,職員設定用!$C$5*$C19*100+職員設定用!$C$7*P$3+職員設定用!$C$8)
+IF(職員設定用!$D$5*$C19*100+職員設定用!$D$7*P$3+職員設定用!$D$8&gt;=職員設定用!$D$10,職員設定用!$D$10,職員設定用!$D$5*$C19*100+職員設定用!$D$7*P$3+職員設定用!$D$8)
+IF(職員設定用!$E$5*$C19*100+職員設定用!$E$7*P$3+職員設定用!$E$8+職員設定用!$E$9*P$3&gt;=職員設定用!$E$10,職員設定用!$E$10,職員設定用!$E$5*$C19*100+職員設定用!$E$7*P$3+職員設定用!$E$8+職員設定用!$E$9*P$3)</f>
        <v>1124030</v>
      </c>
      <c r="Q19" s="215">
        <f t="shared" ref="Q19" si="109">ROUNDUP(P19/12,-2)</f>
        <v>93700</v>
      </c>
      <c r="R19" s="207">
        <f>IF(職員設定用!$B$5*$C19*100+職員設定用!$B$7*R$3+職員設定用!$B$8&gt;=職員設定用!$B$10,職員設定用!$B$10,職員設定用!$B$5*$C19*100+職員設定用!$B$7*R$3+職員設定用!$B$8)
+IF(職員設定用!$C$5*$C19*100+職員設定用!$C$7*R$3+職員設定用!$C$8&gt;=職員設定用!$C$10,職員設定用!$C$10,職員設定用!$C$5*$C19*100+職員設定用!$C$7*R$3+職員設定用!$C$8)
+IF(職員設定用!$D$5*$C19*100+職員設定用!$D$7*R$3+職員設定用!$D$8&gt;=職員設定用!$D$10,職員設定用!$D$10,職員設定用!$D$5*$C19*100+職員設定用!$D$7*R$3+職員設定用!$D$8)
+IF(職員設定用!$E$5*$C19*100+職員設定用!$E$7*R$3+職員設定用!$E$8+職員設定用!$E$9*R$3&gt;=職員設定用!$E$10,職員設定用!$E$10,職員設定用!$E$5*$C19*100+職員設定用!$E$7*R$3+職員設定用!$E$8+職員設定用!$E$9*R$3)</f>
        <v>1130000</v>
      </c>
      <c r="S19" s="215">
        <f t="shared" ref="S19" si="110">ROUNDUP(R19/12,-2)</f>
        <v>94200</v>
      </c>
      <c r="T19" s="207">
        <f>IF(職員設定用!$B$5*$C19*100+職員設定用!$B$7*T$3+職員設定用!$B$8&gt;=職員設定用!$B$10,職員設定用!$B$10,職員設定用!$B$5*$C19*100+職員設定用!$B$7*T$3+職員設定用!$B$8)
+IF(職員設定用!$C$5*$C19*100+職員設定用!$C$7*T$3+職員設定用!$C$8&gt;=職員設定用!$C$10,職員設定用!$C$10,職員設定用!$C$5*$C19*100+職員設定用!$C$7*T$3+職員設定用!$C$8)
+IF(職員設定用!$D$5*$C19*100+職員設定用!$D$7*T$3+職員設定用!$D$8&gt;=職員設定用!$D$10,職員設定用!$D$10,職員設定用!$D$5*$C19*100+職員設定用!$D$7*T$3+職員設定用!$D$8)
+IF(職員設定用!$E$5*$C19*100+職員設定用!$E$7*T$3+職員設定用!$E$8+職員設定用!$E$9*T$3&gt;=職員設定用!$E$10,職員設定用!$E$10,職員設定用!$E$5*$C19*100+職員設定用!$E$7*T$3+職員設定用!$E$8+職員設定用!$E$9*T$3)</f>
        <v>1130000</v>
      </c>
      <c r="U19" s="215">
        <f t="shared" ref="U19" si="111">ROUNDUP(T19/12,-2)</f>
        <v>94200</v>
      </c>
      <c r="V19" s="207">
        <f>IF(職員設定用!$B$5*$C19*100+職員設定用!$B$7*V$3+職員設定用!$B$8&gt;=職員設定用!$B$10,職員設定用!$B$10,職員設定用!$B$5*$C19*100+職員設定用!$B$7*V$3+職員設定用!$B$8)
+IF(職員設定用!$C$5*$C19*100+職員設定用!$C$7*V$3+職員設定用!$C$8&gt;=職員設定用!$C$10,職員設定用!$C$10,職員設定用!$C$5*$C19*100+職員設定用!$C$7*V$3+職員設定用!$C$8)
+IF(職員設定用!$D$5*$C19*100+職員設定用!$D$7*V$3+職員設定用!$D$8&gt;=職員設定用!$D$10,職員設定用!$D$10,職員設定用!$D$5*$C19*100+職員設定用!$D$7*V$3+職員設定用!$D$8)
+IF(職員設定用!$E$5*$C19*100+職員設定用!$E$7*V$3+職員設定用!$E$8+職員設定用!$E$9*V$3&gt;=職員設定用!$E$10,職員設定用!$E$10,職員設定用!$E$5*$C19*100+職員設定用!$E$7*V$3+職員設定用!$E$8+職員設定用!$E$9*V$3)</f>
        <v>1130000</v>
      </c>
      <c r="W19" s="215">
        <f t="shared" ref="W19" si="112">ROUNDUP(V19/12,-2)</f>
        <v>94200</v>
      </c>
    </row>
    <row r="20" spans="2:23" ht="22.5" customHeight="1">
      <c r="B20" s="212">
        <v>750</v>
      </c>
      <c r="C20" s="218">
        <f>IF(B20-職員設定用!$B$19/10000&gt;0,B20-職員設定用!$B$19/10000,0)</f>
        <v>707</v>
      </c>
      <c r="D20" s="207">
        <f>IF(職員設定用!$B$5*$C20*100+職員設定用!$B$7*D$3+職員設定用!$B$8&gt;=職員設定用!$B$10,職員設定用!$B$10,職員設定用!$B$5*$C20*100+職員設定用!$B$7*D$3+職員設定用!$B$8)
+IF(職員設定用!$C$5*$C20*100+職員設定用!$C$7*D$3+職員設定用!$C$8&gt;=職員設定用!$C$10,職員設定用!$C$10,職員設定用!$C$5*$C20*100+職員設定用!$C$7*D$3+職員設定用!$C$8)
+IF(職員設定用!$D$5*$C20*100+職員設定用!$D$7*D$3+職員設定用!$D$8&gt;=職員設定用!$D$10,職員設定用!$D$10,職員設定用!$D$5*$C20*100+職員設定用!$D$7*D$3+職員設定用!$D$8)
+IF(職員設定用!$E$5*$C20*100+職員設定用!$E$7*D$3+職員設定用!$E$8+職員設定用!$E$9*D$3&gt;=職員設定用!$E$10,職員設定用!$E$10,職員設定用!$E$5*$C20*100+職員設定用!$E$7*D$3+職員設定用!$E$8+職員設定用!$E$9*D$3)</f>
        <v>990584.99999999988</v>
      </c>
      <c r="E20" s="215">
        <f t="shared" si="0"/>
        <v>82600</v>
      </c>
      <c r="F20" s="207">
        <f>IF(職員設定用!$B$5*$C20*100+職員設定用!$B$7*F$3+職員設定用!$B$8&gt;=職員設定用!$B$10,職員設定用!$B$10,職員設定用!$B$5*$C20*100+職員設定用!$B$7*F$3+職員設定用!$B$8)
+IF(職員設定用!$C$5*$C20*100+職員設定用!$C$7*F$3+職員設定用!$C$8&gt;=職員設定用!$C$10,職員設定用!$C$10,職員設定用!$C$5*$C20*100+職員設定用!$C$7*F$3+職員設定用!$C$8)
+IF(職員設定用!$D$5*$C20*100+職員設定用!$D$7*F$3+職員設定用!$D$8&gt;=職員設定用!$D$10,職員設定用!$D$10,職員設定用!$D$5*$C20*100+職員設定用!$D$7*F$3+職員設定用!$D$8)
+IF(職員設定用!$E$5*$C20*100+職員設定用!$E$7*F$3+職員設定用!$E$8+職員設定用!$E$9*F$3&gt;=職員設定用!$E$10,職員設定用!$E$10,職員設定用!$E$5*$C20*100+職員設定用!$E$7*F$3+職員設定用!$E$8+職員設定用!$E$9*F$3)</f>
        <v>1035384.9999999999</v>
      </c>
      <c r="G20" s="215">
        <f t="shared" si="0"/>
        <v>86300</v>
      </c>
      <c r="H20" s="207">
        <f>IF(職員設定用!$B$5*$C20*100+職員設定用!$B$7*H$3+職員設定用!$B$8&gt;=職員設定用!$B$10,職員設定用!$B$10,職員設定用!$B$5*$C20*100+職員設定用!$B$7*H$3+職員設定用!$B$8)
+IF(職員設定用!$C$5*$C20*100+職員設定用!$C$7*H$3+職員設定用!$C$8&gt;=職員設定用!$C$10,職員設定用!$C$10,職員設定用!$C$5*$C20*100+職員設定用!$C$7*H$3+職員設定用!$C$8)
+IF(職員設定用!$D$5*$C20*100+職員設定用!$D$7*H$3+職員設定用!$D$8&gt;=職員設定用!$D$10,職員設定用!$D$10,職員設定用!$D$5*$C20*100+職員設定用!$D$7*H$3+職員設定用!$D$8)
+IF(職員設定用!$E$5*$C20*100+職員設定用!$E$7*H$3+職員設定用!$E$8+職員設定用!$E$9*H$3&gt;=職員設定用!$E$10,職員設定用!$E$10,職員設定用!$E$5*$C20*100+職員設定用!$E$7*H$3+職員設定用!$E$8+職員設定用!$E$9*H$3)</f>
        <v>1080185</v>
      </c>
      <c r="I20" s="215">
        <f t="shared" ref="I20" si="113">ROUNDUP(H20/12,-2)</f>
        <v>90100</v>
      </c>
      <c r="J20" s="207">
        <f>IF(職員設定用!$B$5*$C20*100+職員設定用!$B$7*J$3+職員設定用!$B$8&gt;=職員設定用!$B$10,職員設定用!$B$10,職員設定用!$B$5*$C20*100+職員設定用!$B$7*J$3+職員設定用!$B$8)
+IF(職員設定用!$C$5*$C20*100+職員設定用!$C$7*J$3+職員設定用!$C$8&gt;=職員設定用!$C$10,職員設定用!$C$10,職員設定用!$C$5*$C20*100+職員設定用!$C$7*J$3+職員設定用!$C$8)
+IF(職員設定用!$D$5*$C20*100+職員設定用!$D$7*J$3+職員設定用!$D$8&gt;=職員設定用!$D$10,職員設定用!$D$10,職員設定用!$D$5*$C20*100+職員設定用!$D$7*J$3+職員設定用!$D$8)
+IF(職員設定用!$E$5*$C20*100+職員設定用!$E$7*J$3+職員設定用!$E$8+職員設定用!$E$9*J$3&gt;=職員設定用!$E$10,職員設定用!$E$10,職員設定用!$E$5*$C20*100+職員設定用!$E$7*J$3+職員設定用!$E$8+職員設定用!$E$9*J$3)</f>
        <v>1101930</v>
      </c>
      <c r="K20" s="215">
        <f t="shared" ref="K20" si="114">ROUNDUP(J20/12,-2)</f>
        <v>91900</v>
      </c>
      <c r="L20" s="207">
        <f>IF(職員設定用!$B$5*$C20*100+職員設定用!$B$7*L$3+職員設定用!$B$8&gt;=職員設定用!$B$10,職員設定用!$B$10,職員設定用!$B$5*$C20*100+職員設定用!$B$7*L$3+職員設定用!$B$8)
+IF(職員設定用!$C$5*$C20*100+職員設定用!$C$7*L$3+職員設定用!$C$8&gt;=職員設定用!$C$10,職員設定用!$C$10,職員設定用!$C$5*$C20*100+職員設定用!$C$7*L$3+職員設定用!$C$8)
+IF(職員設定用!$D$5*$C20*100+職員設定用!$D$7*L$3+職員設定用!$D$8&gt;=職員設定用!$D$10,職員設定用!$D$10,職員設定用!$D$5*$C20*100+職員設定用!$D$7*L$3+職員設定用!$D$8)
+IF(職員設定用!$E$5*$C20*100+職員設定用!$E$7*L$3+職員設定用!$E$8+職員設定用!$E$9*L$3&gt;=職員設定用!$E$10,職員設定用!$E$10,職員設定用!$E$5*$C20*100+職員設定用!$E$7*L$3+職員設定用!$E$8+職員設定用!$E$9*L$3)</f>
        <v>1114130</v>
      </c>
      <c r="M20" s="215">
        <f t="shared" ref="M20" si="115">ROUNDUP(L20/12,-2)</f>
        <v>92900</v>
      </c>
      <c r="N20" s="207">
        <f>IF(職員設定用!$B$5*$C20*100+職員設定用!$B$7*N$3+職員設定用!$B$8&gt;=職員設定用!$B$10,職員設定用!$B$10,職員設定用!$B$5*$C20*100+職員設定用!$B$7*N$3+職員設定用!$B$8)
+IF(職員設定用!$C$5*$C20*100+職員設定用!$C$7*N$3+職員設定用!$C$8&gt;=職員設定用!$C$10,職員設定用!$C$10,職員設定用!$C$5*$C20*100+職員設定用!$C$7*N$3+職員設定用!$C$8)
+IF(職員設定用!$D$5*$C20*100+職員設定用!$D$7*N$3+職員設定用!$D$8&gt;=職員設定用!$D$10,職員設定用!$D$10,職員設定用!$D$5*$C20*100+職員設定用!$D$7*N$3+職員設定用!$D$8)
+IF(職員設定用!$E$5*$C20*100+職員設定用!$E$7*N$3+職員設定用!$E$8+職員設定用!$E$9*N$3&gt;=職員設定用!$E$10,職員設定用!$E$10,職員設定用!$E$5*$C20*100+職員設定用!$E$7*N$3+職員設定用!$E$8+職員設定用!$E$9*N$3)</f>
        <v>1126330</v>
      </c>
      <c r="O20" s="215">
        <f t="shared" ref="O20" si="116">ROUNDUP(N20/12,-2)</f>
        <v>93900</v>
      </c>
      <c r="P20" s="207">
        <f>IF(職員設定用!$B$5*$C20*100+職員設定用!$B$7*P$3+職員設定用!$B$8&gt;=職員設定用!$B$10,職員設定用!$B$10,職員設定用!$B$5*$C20*100+職員設定用!$B$7*P$3+職員設定用!$B$8)
+IF(職員設定用!$C$5*$C20*100+職員設定用!$C$7*P$3+職員設定用!$C$8&gt;=職員設定用!$C$10,職員設定用!$C$10,職員設定用!$C$5*$C20*100+職員設定用!$C$7*P$3+職員設定用!$C$8)
+IF(職員設定用!$D$5*$C20*100+職員設定用!$D$7*P$3+職員設定用!$D$8&gt;=職員設定用!$D$10,職員設定用!$D$10,職員設定用!$D$5*$C20*100+職員設定用!$D$7*P$3+職員設定用!$D$8)
+IF(職員設定用!$E$5*$C20*100+職員設定用!$E$7*P$3+職員設定用!$E$8+職員設定用!$E$9*P$3&gt;=職員設定用!$E$10,職員設定用!$E$10,職員設定用!$E$5*$C20*100+職員設定用!$E$7*P$3+職員設定用!$E$8+職員設定用!$E$9*P$3)</f>
        <v>1130000</v>
      </c>
      <c r="Q20" s="215">
        <f t="shared" ref="Q20" si="117">ROUNDUP(P20/12,-2)</f>
        <v>94200</v>
      </c>
      <c r="R20" s="207">
        <f>IF(職員設定用!$B$5*$C20*100+職員設定用!$B$7*R$3+職員設定用!$B$8&gt;=職員設定用!$B$10,職員設定用!$B$10,職員設定用!$B$5*$C20*100+職員設定用!$B$7*R$3+職員設定用!$B$8)
+IF(職員設定用!$C$5*$C20*100+職員設定用!$C$7*R$3+職員設定用!$C$8&gt;=職員設定用!$C$10,職員設定用!$C$10,職員設定用!$C$5*$C20*100+職員設定用!$C$7*R$3+職員設定用!$C$8)
+IF(職員設定用!$D$5*$C20*100+職員設定用!$D$7*R$3+職員設定用!$D$8&gt;=職員設定用!$D$10,職員設定用!$D$10,職員設定用!$D$5*$C20*100+職員設定用!$D$7*R$3+職員設定用!$D$8)
+IF(職員設定用!$E$5*$C20*100+職員設定用!$E$7*R$3+職員設定用!$E$8+職員設定用!$E$9*R$3&gt;=職員設定用!$E$10,職員設定用!$E$10,職員設定用!$E$5*$C20*100+職員設定用!$E$7*R$3+職員設定用!$E$8+職員設定用!$E$9*R$3)</f>
        <v>1130000</v>
      </c>
      <c r="S20" s="215">
        <f t="shared" ref="S20" si="118">ROUNDUP(R20/12,-2)</f>
        <v>94200</v>
      </c>
      <c r="T20" s="207">
        <f>IF(職員設定用!$B$5*$C20*100+職員設定用!$B$7*T$3+職員設定用!$B$8&gt;=職員設定用!$B$10,職員設定用!$B$10,職員設定用!$B$5*$C20*100+職員設定用!$B$7*T$3+職員設定用!$B$8)
+IF(職員設定用!$C$5*$C20*100+職員設定用!$C$7*T$3+職員設定用!$C$8&gt;=職員設定用!$C$10,職員設定用!$C$10,職員設定用!$C$5*$C20*100+職員設定用!$C$7*T$3+職員設定用!$C$8)
+IF(職員設定用!$D$5*$C20*100+職員設定用!$D$7*T$3+職員設定用!$D$8&gt;=職員設定用!$D$10,職員設定用!$D$10,職員設定用!$D$5*$C20*100+職員設定用!$D$7*T$3+職員設定用!$D$8)
+IF(職員設定用!$E$5*$C20*100+職員設定用!$E$7*T$3+職員設定用!$E$8+職員設定用!$E$9*T$3&gt;=職員設定用!$E$10,職員設定用!$E$10,職員設定用!$E$5*$C20*100+職員設定用!$E$7*T$3+職員設定用!$E$8+職員設定用!$E$9*T$3)</f>
        <v>1130000</v>
      </c>
      <c r="U20" s="215">
        <f t="shared" ref="U20" si="119">ROUNDUP(T20/12,-2)</f>
        <v>94200</v>
      </c>
      <c r="V20" s="207">
        <f>IF(職員設定用!$B$5*$C20*100+職員設定用!$B$7*V$3+職員設定用!$B$8&gt;=職員設定用!$B$10,職員設定用!$B$10,職員設定用!$B$5*$C20*100+職員設定用!$B$7*V$3+職員設定用!$B$8)
+IF(職員設定用!$C$5*$C20*100+職員設定用!$C$7*V$3+職員設定用!$C$8&gt;=職員設定用!$C$10,職員設定用!$C$10,職員設定用!$C$5*$C20*100+職員設定用!$C$7*V$3+職員設定用!$C$8)
+IF(職員設定用!$D$5*$C20*100+職員設定用!$D$7*V$3+職員設定用!$D$8&gt;=職員設定用!$D$10,職員設定用!$D$10,職員設定用!$D$5*$C20*100+職員設定用!$D$7*V$3+職員設定用!$D$8)
+IF(職員設定用!$E$5*$C20*100+職員設定用!$E$7*V$3+職員設定用!$E$8+職員設定用!$E$9*V$3&gt;=職員設定用!$E$10,職員設定用!$E$10,職員設定用!$E$5*$C20*100+職員設定用!$E$7*V$3+職員設定用!$E$8+職員設定用!$E$9*V$3)</f>
        <v>1130000</v>
      </c>
      <c r="W20" s="215">
        <f t="shared" ref="W20" si="120">ROUNDUP(V20/12,-2)</f>
        <v>94200</v>
      </c>
    </row>
    <row r="21" spans="2:23" ht="22.5" customHeight="1">
      <c r="B21" s="212">
        <v>800</v>
      </c>
      <c r="C21" s="218">
        <f>IF(B21-職員設定用!$B$19/10000&gt;0,B21-職員設定用!$B$19/10000,0)</f>
        <v>757</v>
      </c>
      <c r="D21" s="207">
        <f>IF(職員設定用!$B$5*$C21*100+職員設定用!$B$7*D$3+職員設定用!$B$8&gt;=職員設定用!$B$10,職員設定用!$B$10,職員設定用!$B$5*$C21*100+職員設定用!$B$7*D$3+職員設定用!$B$8)
+IF(職員設定用!$C$5*$C21*100+職員設定用!$C$7*D$3+職員設定用!$C$8&gt;=職員設定用!$C$10,職員設定用!$C$10,職員設定用!$C$5*$C21*100+職員設定用!$C$7*D$3+職員設定用!$C$8)
+IF(職員設定用!$D$5*$C21*100+職員設定用!$D$7*D$3+職員設定用!$D$8&gt;=職員設定用!$D$10,職員設定用!$D$10,職員設定用!$D$5*$C21*100+職員設定用!$D$7*D$3+職員設定用!$D$8)
+IF(職員設定用!$E$5*$C21*100+職員設定用!$E$7*D$3+職員設定用!$E$8+職員設定用!$E$9*D$3&gt;=職員設定用!$E$10,職員設定用!$E$10,職員設定用!$E$5*$C21*100+職員設定用!$E$7*D$3+職員設定用!$E$8+職員設定用!$E$9*D$3)</f>
        <v>1043334.9999999999</v>
      </c>
      <c r="E21" s="215">
        <f t="shared" si="0"/>
        <v>87000</v>
      </c>
      <c r="F21" s="207">
        <f>IF(職員設定用!$B$5*$C21*100+職員設定用!$B$7*F$3+職員設定用!$B$8&gt;=職員設定用!$B$10,職員設定用!$B$10,職員設定用!$B$5*$C21*100+職員設定用!$B$7*F$3+職員設定用!$B$8)
+IF(職員設定用!$C$5*$C21*100+職員設定用!$C$7*F$3+職員設定用!$C$8&gt;=職員設定用!$C$10,職員設定用!$C$10,職員設定用!$C$5*$C21*100+職員設定用!$C$7*F$3+職員設定用!$C$8)
+IF(職員設定用!$D$5*$C21*100+職員設定用!$D$7*F$3+職員設定用!$D$8&gt;=職員設定用!$D$10,職員設定用!$D$10,職員設定用!$D$5*$C21*100+職員設定用!$D$7*F$3+職員設定用!$D$8)
+IF(職員設定用!$E$5*$C21*100+職員設定用!$E$7*F$3+職員設定用!$E$8+職員設定用!$E$9*F$3&gt;=職員設定用!$E$10,職員設定用!$E$10,職員設定用!$E$5*$C21*100+職員設定用!$E$7*F$3+職員設定用!$E$8+職員設定用!$E$9*F$3)</f>
        <v>1088135</v>
      </c>
      <c r="G21" s="215">
        <f t="shared" si="0"/>
        <v>90700</v>
      </c>
      <c r="H21" s="207">
        <f>IF(職員設定用!$B$5*$C21*100+職員設定用!$B$7*H$3+職員設定用!$B$8&gt;=職員設定用!$B$10,職員設定用!$B$10,職員設定用!$B$5*$C21*100+職員設定用!$B$7*H$3+職員設定用!$B$8)
+IF(職員設定用!$C$5*$C21*100+職員設定用!$C$7*H$3+職員設定用!$C$8&gt;=職員設定用!$C$10,職員設定用!$C$10,職員設定用!$C$5*$C21*100+職員設定用!$C$7*H$3+職員設定用!$C$8)
+IF(職員設定用!$D$5*$C21*100+職員設定用!$D$7*H$3+職員設定用!$D$8&gt;=職員設定用!$D$10,職員設定用!$D$10,職員設定用!$D$5*$C21*100+職員設定用!$D$7*H$3+職員設定用!$D$8)
+IF(職員設定用!$E$5*$C21*100+職員設定用!$E$7*H$3+職員設定用!$E$8+職員設定用!$E$9*H$3&gt;=職員設定用!$E$10,職員設定用!$E$10,職員設定用!$E$5*$C21*100+職員設定用!$E$7*H$3+職員設定用!$E$8+職員設定用!$E$9*H$3)</f>
        <v>1104230</v>
      </c>
      <c r="I21" s="215">
        <f t="shared" ref="I21" si="121">ROUNDUP(H21/12,-2)</f>
        <v>92100</v>
      </c>
      <c r="J21" s="207">
        <f>IF(職員設定用!$B$5*$C21*100+職員設定用!$B$7*J$3+職員設定用!$B$8&gt;=職員設定用!$B$10,職員設定用!$B$10,職員設定用!$B$5*$C21*100+職員設定用!$B$7*J$3+職員設定用!$B$8)
+IF(職員設定用!$C$5*$C21*100+職員設定用!$C$7*J$3+職員設定用!$C$8&gt;=職員設定用!$C$10,職員設定用!$C$10,職員設定用!$C$5*$C21*100+職員設定用!$C$7*J$3+職員設定用!$C$8)
+IF(職員設定用!$D$5*$C21*100+職員設定用!$D$7*J$3+職員設定用!$D$8&gt;=職員設定用!$D$10,職員設定用!$D$10,職員設定用!$D$5*$C21*100+職員設定用!$D$7*J$3+職員設定用!$D$8)
+IF(職員設定用!$E$5*$C21*100+職員設定用!$E$7*J$3+職員設定用!$E$8+職員設定用!$E$9*J$3&gt;=職員設定用!$E$10,職員設定用!$E$10,職員設定用!$E$5*$C21*100+職員設定用!$E$7*J$3+職員設定用!$E$8+職員設定用!$E$9*J$3)</f>
        <v>1116430</v>
      </c>
      <c r="K21" s="215">
        <f t="shared" ref="K21" si="122">ROUNDUP(J21/12,-2)</f>
        <v>93100</v>
      </c>
      <c r="L21" s="207">
        <f>IF(職員設定用!$B$5*$C21*100+職員設定用!$B$7*L$3+職員設定用!$B$8&gt;=職員設定用!$B$10,職員設定用!$B$10,職員設定用!$B$5*$C21*100+職員設定用!$B$7*L$3+職員設定用!$B$8)
+IF(職員設定用!$C$5*$C21*100+職員設定用!$C$7*L$3+職員設定用!$C$8&gt;=職員設定用!$C$10,職員設定用!$C$10,職員設定用!$C$5*$C21*100+職員設定用!$C$7*L$3+職員設定用!$C$8)
+IF(職員設定用!$D$5*$C21*100+職員設定用!$D$7*L$3+職員設定用!$D$8&gt;=職員設定用!$D$10,職員設定用!$D$10,職員設定用!$D$5*$C21*100+職員設定用!$D$7*L$3+職員設定用!$D$8)
+IF(職員設定用!$E$5*$C21*100+職員設定用!$E$7*L$3+職員設定用!$E$8+職員設定用!$E$9*L$3&gt;=職員設定用!$E$10,職員設定用!$E$10,職員設定用!$E$5*$C21*100+職員設定用!$E$7*L$3+職員設定用!$E$8+職員設定用!$E$9*L$3)</f>
        <v>1128630</v>
      </c>
      <c r="M21" s="215">
        <f t="shared" ref="M21" si="123">ROUNDUP(L21/12,-2)</f>
        <v>94100</v>
      </c>
      <c r="N21" s="207">
        <f>IF(職員設定用!$B$5*$C21*100+職員設定用!$B$7*N$3+職員設定用!$B$8&gt;=職員設定用!$B$10,職員設定用!$B$10,職員設定用!$B$5*$C21*100+職員設定用!$B$7*N$3+職員設定用!$B$8)
+IF(職員設定用!$C$5*$C21*100+職員設定用!$C$7*N$3+職員設定用!$C$8&gt;=職員設定用!$C$10,職員設定用!$C$10,職員設定用!$C$5*$C21*100+職員設定用!$C$7*N$3+職員設定用!$C$8)
+IF(職員設定用!$D$5*$C21*100+職員設定用!$D$7*N$3+職員設定用!$D$8&gt;=職員設定用!$D$10,職員設定用!$D$10,職員設定用!$D$5*$C21*100+職員設定用!$D$7*N$3+職員設定用!$D$8)
+IF(職員設定用!$E$5*$C21*100+職員設定用!$E$7*N$3+職員設定用!$E$8+職員設定用!$E$9*N$3&gt;=職員設定用!$E$10,職員設定用!$E$10,職員設定用!$E$5*$C21*100+職員設定用!$E$7*N$3+職員設定用!$E$8+職員設定用!$E$9*N$3)</f>
        <v>1130000</v>
      </c>
      <c r="O21" s="215">
        <f t="shared" ref="O21" si="124">ROUNDUP(N21/12,-2)</f>
        <v>94200</v>
      </c>
      <c r="P21" s="207">
        <f>IF(職員設定用!$B$5*$C21*100+職員設定用!$B$7*P$3+職員設定用!$B$8&gt;=職員設定用!$B$10,職員設定用!$B$10,職員設定用!$B$5*$C21*100+職員設定用!$B$7*P$3+職員設定用!$B$8)
+IF(職員設定用!$C$5*$C21*100+職員設定用!$C$7*P$3+職員設定用!$C$8&gt;=職員設定用!$C$10,職員設定用!$C$10,職員設定用!$C$5*$C21*100+職員設定用!$C$7*P$3+職員設定用!$C$8)
+IF(職員設定用!$D$5*$C21*100+職員設定用!$D$7*P$3+職員設定用!$D$8&gt;=職員設定用!$D$10,職員設定用!$D$10,職員設定用!$D$5*$C21*100+職員設定用!$D$7*P$3+職員設定用!$D$8)
+IF(職員設定用!$E$5*$C21*100+職員設定用!$E$7*P$3+職員設定用!$E$8+職員設定用!$E$9*P$3&gt;=職員設定用!$E$10,職員設定用!$E$10,職員設定用!$E$5*$C21*100+職員設定用!$E$7*P$3+職員設定用!$E$8+職員設定用!$E$9*P$3)</f>
        <v>1130000</v>
      </c>
      <c r="Q21" s="215">
        <f t="shared" ref="Q21" si="125">ROUNDUP(P21/12,-2)</f>
        <v>94200</v>
      </c>
      <c r="R21" s="207">
        <f>IF(職員設定用!$B$5*$C21*100+職員設定用!$B$7*R$3+職員設定用!$B$8&gt;=職員設定用!$B$10,職員設定用!$B$10,職員設定用!$B$5*$C21*100+職員設定用!$B$7*R$3+職員設定用!$B$8)
+IF(職員設定用!$C$5*$C21*100+職員設定用!$C$7*R$3+職員設定用!$C$8&gt;=職員設定用!$C$10,職員設定用!$C$10,職員設定用!$C$5*$C21*100+職員設定用!$C$7*R$3+職員設定用!$C$8)
+IF(職員設定用!$D$5*$C21*100+職員設定用!$D$7*R$3+職員設定用!$D$8&gt;=職員設定用!$D$10,職員設定用!$D$10,職員設定用!$D$5*$C21*100+職員設定用!$D$7*R$3+職員設定用!$D$8)
+IF(職員設定用!$E$5*$C21*100+職員設定用!$E$7*R$3+職員設定用!$E$8+職員設定用!$E$9*R$3&gt;=職員設定用!$E$10,職員設定用!$E$10,職員設定用!$E$5*$C21*100+職員設定用!$E$7*R$3+職員設定用!$E$8+職員設定用!$E$9*R$3)</f>
        <v>1130000</v>
      </c>
      <c r="S21" s="215">
        <f t="shared" ref="S21" si="126">ROUNDUP(R21/12,-2)</f>
        <v>94200</v>
      </c>
      <c r="T21" s="207">
        <f>IF(職員設定用!$B$5*$C21*100+職員設定用!$B$7*T$3+職員設定用!$B$8&gt;=職員設定用!$B$10,職員設定用!$B$10,職員設定用!$B$5*$C21*100+職員設定用!$B$7*T$3+職員設定用!$B$8)
+IF(職員設定用!$C$5*$C21*100+職員設定用!$C$7*T$3+職員設定用!$C$8&gt;=職員設定用!$C$10,職員設定用!$C$10,職員設定用!$C$5*$C21*100+職員設定用!$C$7*T$3+職員設定用!$C$8)
+IF(職員設定用!$D$5*$C21*100+職員設定用!$D$7*T$3+職員設定用!$D$8&gt;=職員設定用!$D$10,職員設定用!$D$10,職員設定用!$D$5*$C21*100+職員設定用!$D$7*T$3+職員設定用!$D$8)
+IF(職員設定用!$E$5*$C21*100+職員設定用!$E$7*T$3+職員設定用!$E$8+職員設定用!$E$9*T$3&gt;=職員設定用!$E$10,職員設定用!$E$10,職員設定用!$E$5*$C21*100+職員設定用!$E$7*T$3+職員設定用!$E$8+職員設定用!$E$9*T$3)</f>
        <v>1130000</v>
      </c>
      <c r="U21" s="215">
        <f t="shared" ref="U21" si="127">ROUNDUP(T21/12,-2)</f>
        <v>94200</v>
      </c>
      <c r="V21" s="207">
        <f>IF(職員設定用!$B$5*$C21*100+職員設定用!$B$7*V$3+職員設定用!$B$8&gt;=職員設定用!$B$10,職員設定用!$B$10,職員設定用!$B$5*$C21*100+職員設定用!$B$7*V$3+職員設定用!$B$8)
+IF(職員設定用!$C$5*$C21*100+職員設定用!$C$7*V$3+職員設定用!$C$8&gt;=職員設定用!$C$10,職員設定用!$C$10,職員設定用!$C$5*$C21*100+職員設定用!$C$7*V$3+職員設定用!$C$8)
+IF(職員設定用!$D$5*$C21*100+職員設定用!$D$7*V$3+職員設定用!$D$8&gt;=職員設定用!$D$10,職員設定用!$D$10,職員設定用!$D$5*$C21*100+職員設定用!$D$7*V$3+職員設定用!$D$8)
+IF(職員設定用!$E$5*$C21*100+職員設定用!$E$7*V$3+職員設定用!$E$8+職員設定用!$E$9*V$3&gt;=職員設定用!$E$10,職員設定用!$E$10,職員設定用!$E$5*$C21*100+職員設定用!$E$7*V$3+職員設定用!$E$8+職員設定用!$E$9*V$3)</f>
        <v>1130000</v>
      </c>
      <c r="W21" s="215">
        <f t="shared" ref="W21" si="128">ROUNDUP(V21/12,-2)</f>
        <v>94200</v>
      </c>
    </row>
    <row r="22" spans="2:23" ht="22.5" customHeight="1">
      <c r="B22" s="212">
        <v>850</v>
      </c>
      <c r="C22" s="218">
        <f>IF(B22-職員設定用!$B$19/10000&gt;0,B22-職員設定用!$B$19/10000,0)</f>
        <v>807</v>
      </c>
      <c r="D22" s="207">
        <f>IF(職員設定用!$B$5*$C22*100+職員設定用!$B$7*D$3+職員設定用!$B$8&gt;=職員設定用!$B$10,職員設定用!$B$10,職員設定用!$B$5*$C22*100+職員設定用!$B$7*D$3+職員設定用!$B$8)
+IF(職員設定用!$C$5*$C22*100+職員設定用!$C$7*D$3+職員設定用!$C$8&gt;=職員設定用!$C$10,職員設定用!$C$10,職員設定用!$C$5*$C22*100+職員設定用!$C$7*D$3+職員設定用!$C$8)
+IF(職員設定用!$D$5*$C22*100+職員設定用!$D$7*D$3+職員設定用!$D$8&gt;=職員設定用!$D$10,職員設定用!$D$10,職員設定用!$D$5*$C22*100+職員設定用!$D$7*D$3+職員設定用!$D$8)
+IF(職員設定用!$E$5*$C22*100+職員設定用!$E$7*D$3+職員設定用!$E$8+職員設定用!$E$9*D$3&gt;=職員設定用!$E$10,職員設定用!$E$10,職員設定用!$E$5*$C22*100+職員設定用!$E$7*D$3+職員設定用!$E$8+職員設定用!$E$9*D$3)</f>
        <v>1094330</v>
      </c>
      <c r="E22" s="215">
        <f t="shared" si="0"/>
        <v>91200</v>
      </c>
      <c r="F22" s="207">
        <f>IF(職員設定用!$B$5*$C22*100+職員設定用!$B$7*F$3+職員設定用!$B$8&gt;=職員設定用!$B$10,職員設定用!$B$10,職員設定用!$B$5*$C22*100+職員設定用!$B$7*F$3+職員設定用!$B$8)
+IF(職員設定用!$C$5*$C22*100+職員設定用!$C$7*F$3+職員設定用!$C$8&gt;=職員設定用!$C$10,職員設定用!$C$10,職員設定用!$C$5*$C22*100+職員設定用!$C$7*F$3+職員設定用!$C$8)
+IF(職員設定用!$D$5*$C22*100+職員設定用!$D$7*F$3+職員設定用!$D$8&gt;=職員設定用!$D$10,職員設定用!$D$10,職員設定用!$D$5*$C22*100+職員設定用!$D$7*F$3+職員設定用!$D$8)
+IF(職員設定用!$E$5*$C22*100+職員設定用!$E$7*F$3+職員設定用!$E$8+職員設定用!$E$9*F$3&gt;=職員設定用!$E$10,職員設定用!$E$10,職員設定用!$E$5*$C22*100+職員設定用!$E$7*F$3+職員設定用!$E$8+職員設定用!$E$9*F$3)</f>
        <v>1106530</v>
      </c>
      <c r="G22" s="215">
        <f t="shared" si="0"/>
        <v>92300</v>
      </c>
      <c r="H22" s="207">
        <f>IF(職員設定用!$B$5*$C22*100+職員設定用!$B$7*H$3+職員設定用!$B$8&gt;=職員設定用!$B$10,職員設定用!$B$10,職員設定用!$B$5*$C22*100+職員設定用!$B$7*H$3+職員設定用!$B$8)
+IF(職員設定用!$C$5*$C22*100+職員設定用!$C$7*H$3+職員設定用!$C$8&gt;=職員設定用!$C$10,職員設定用!$C$10,職員設定用!$C$5*$C22*100+職員設定用!$C$7*H$3+職員設定用!$C$8)
+IF(職員設定用!$D$5*$C22*100+職員設定用!$D$7*H$3+職員設定用!$D$8&gt;=職員設定用!$D$10,職員設定用!$D$10,職員設定用!$D$5*$C22*100+職員設定用!$D$7*H$3+職員設定用!$D$8)
+IF(職員設定用!$E$5*$C22*100+職員設定用!$E$7*H$3+職員設定用!$E$8+職員設定用!$E$9*H$3&gt;=職員設定用!$E$10,職員設定用!$E$10,職員設定用!$E$5*$C22*100+職員設定用!$E$7*H$3+職員設定用!$E$8+職員設定用!$E$9*H$3)</f>
        <v>1118730</v>
      </c>
      <c r="I22" s="215">
        <f t="shared" ref="I22" si="129">ROUNDUP(H22/12,-2)</f>
        <v>93300</v>
      </c>
      <c r="J22" s="207">
        <f>IF(職員設定用!$B$5*$C22*100+職員設定用!$B$7*J$3+職員設定用!$B$8&gt;=職員設定用!$B$10,職員設定用!$B$10,職員設定用!$B$5*$C22*100+職員設定用!$B$7*J$3+職員設定用!$B$8)
+IF(職員設定用!$C$5*$C22*100+職員設定用!$C$7*J$3+職員設定用!$C$8&gt;=職員設定用!$C$10,職員設定用!$C$10,職員設定用!$C$5*$C22*100+職員設定用!$C$7*J$3+職員設定用!$C$8)
+IF(職員設定用!$D$5*$C22*100+職員設定用!$D$7*J$3+職員設定用!$D$8&gt;=職員設定用!$D$10,職員設定用!$D$10,職員設定用!$D$5*$C22*100+職員設定用!$D$7*J$3+職員設定用!$D$8)
+IF(職員設定用!$E$5*$C22*100+職員設定用!$E$7*J$3+職員設定用!$E$8+職員設定用!$E$9*J$3&gt;=職員設定用!$E$10,職員設定用!$E$10,職員設定用!$E$5*$C22*100+職員設定用!$E$7*J$3+職員設定用!$E$8+職員設定用!$E$9*J$3)</f>
        <v>1129403</v>
      </c>
      <c r="K22" s="215">
        <f t="shared" ref="K22" si="130">ROUNDUP(J22/12,-2)</f>
        <v>94200</v>
      </c>
      <c r="L22" s="207">
        <f>IF(職員設定用!$B$5*$C22*100+職員設定用!$B$7*L$3+職員設定用!$B$8&gt;=職員設定用!$B$10,職員設定用!$B$10,職員設定用!$B$5*$C22*100+職員設定用!$B$7*L$3+職員設定用!$B$8)
+IF(職員設定用!$C$5*$C22*100+職員設定用!$C$7*L$3+職員設定用!$C$8&gt;=職員設定用!$C$10,職員設定用!$C$10,職員設定用!$C$5*$C22*100+職員設定用!$C$7*L$3+職員設定用!$C$8)
+IF(職員設定用!$D$5*$C22*100+職員設定用!$D$7*L$3+職員設定用!$D$8&gt;=職員設定用!$D$10,職員設定用!$D$10,職員設定用!$D$5*$C22*100+職員設定用!$D$7*L$3+職員設定用!$D$8)
+IF(職員設定用!$E$5*$C22*100+職員設定用!$E$7*L$3+職員設定用!$E$8+職員設定用!$E$9*L$3&gt;=職員設定用!$E$10,職員設定用!$E$10,職員設定用!$E$5*$C22*100+職員設定用!$E$7*L$3+職員設定用!$E$8+職員設定用!$E$9*L$3)</f>
        <v>1130000</v>
      </c>
      <c r="M22" s="215">
        <f t="shared" ref="M22" si="131">ROUNDUP(L22/12,-2)</f>
        <v>94200</v>
      </c>
      <c r="N22" s="207">
        <f>IF(職員設定用!$B$5*$C22*100+職員設定用!$B$7*N$3+職員設定用!$B$8&gt;=職員設定用!$B$10,職員設定用!$B$10,職員設定用!$B$5*$C22*100+職員設定用!$B$7*N$3+職員設定用!$B$8)
+IF(職員設定用!$C$5*$C22*100+職員設定用!$C$7*N$3+職員設定用!$C$8&gt;=職員設定用!$C$10,職員設定用!$C$10,職員設定用!$C$5*$C22*100+職員設定用!$C$7*N$3+職員設定用!$C$8)
+IF(職員設定用!$D$5*$C22*100+職員設定用!$D$7*N$3+職員設定用!$D$8&gt;=職員設定用!$D$10,職員設定用!$D$10,職員設定用!$D$5*$C22*100+職員設定用!$D$7*N$3+職員設定用!$D$8)
+IF(職員設定用!$E$5*$C22*100+職員設定用!$E$7*N$3+職員設定用!$E$8+職員設定用!$E$9*N$3&gt;=職員設定用!$E$10,職員設定用!$E$10,職員設定用!$E$5*$C22*100+職員設定用!$E$7*N$3+職員設定用!$E$8+職員設定用!$E$9*N$3)</f>
        <v>1130000</v>
      </c>
      <c r="O22" s="215">
        <f t="shared" ref="O22" si="132">ROUNDUP(N22/12,-2)</f>
        <v>94200</v>
      </c>
      <c r="P22" s="207">
        <f>IF(職員設定用!$B$5*$C22*100+職員設定用!$B$7*P$3+職員設定用!$B$8&gt;=職員設定用!$B$10,職員設定用!$B$10,職員設定用!$B$5*$C22*100+職員設定用!$B$7*P$3+職員設定用!$B$8)
+IF(職員設定用!$C$5*$C22*100+職員設定用!$C$7*P$3+職員設定用!$C$8&gt;=職員設定用!$C$10,職員設定用!$C$10,職員設定用!$C$5*$C22*100+職員設定用!$C$7*P$3+職員設定用!$C$8)
+IF(職員設定用!$D$5*$C22*100+職員設定用!$D$7*P$3+職員設定用!$D$8&gt;=職員設定用!$D$10,職員設定用!$D$10,職員設定用!$D$5*$C22*100+職員設定用!$D$7*P$3+職員設定用!$D$8)
+IF(職員設定用!$E$5*$C22*100+職員設定用!$E$7*P$3+職員設定用!$E$8+職員設定用!$E$9*P$3&gt;=職員設定用!$E$10,職員設定用!$E$10,職員設定用!$E$5*$C22*100+職員設定用!$E$7*P$3+職員設定用!$E$8+職員設定用!$E$9*P$3)</f>
        <v>1130000</v>
      </c>
      <c r="Q22" s="215">
        <f t="shared" ref="Q22" si="133">ROUNDUP(P22/12,-2)</f>
        <v>94200</v>
      </c>
      <c r="R22" s="207">
        <f>IF(職員設定用!$B$5*$C22*100+職員設定用!$B$7*R$3+職員設定用!$B$8&gt;=職員設定用!$B$10,職員設定用!$B$10,職員設定用!$B$5*$C22*100+職員設定用!$B$7*R$3+職員設定用!$B$8)
+IF(職員設定用!$C$5*$C22*100+職員設定用!$C$7*R$3+職員設定用!$C$8&gt;=職員設定用!$C$10,職員設定用!$C$10,職員設定用!$C$5*$C22*100+職員設定用!$C$7*R$3+職員設定用!$C$8)
+IF(職員設定用!$D$5*$C22*100+職員設定用!$D$7*R$3+職員設定用!$D$8&gt;=職員設定用!$D$10,職員設定用!$D$10,職員設定用!$D$5*$C22*100+職員設定用!$D$7*R$3+職員設定用!$D$8)
+IF(職員設定用!$E$5*$C22*100+職員設定用!$E$7*R$3+職員設定用!$E$8+職員設定用!$E$9*R$3&gt;=職員設定用!$E$10,職員設定用!$E$10,職員設定用!$E$5*$C22*100+職員設定用!$E$7*R$3+職員設定用!$E$8+職員設定用!$E$9*R$3)</f>
        <v>1130000</v>
      </c>
      <c r="S22" s="215">
        <f t="shared" ref="S22" si="134">ROUNDUP(R22/12,-2)</f>
        <v>94200</v>
      </c>
      <c r="T22" s="207">
        <f>IF(職員設定用!$B$5*$C22*100+職員設定用!$B$7*T$3+職員設定用!$B$8&gt;=職員設定用!$B$10,職員設定用!$B$10,職員設定用!$B$5*$C22*100+職員設定用!$B$7*T$3+職員設定用!$B$8)
+IF(職員設定用!$C$5*$C22*100+職員設定用!$C$7*T$3+職員設定用!$C$8&gt;=職員設定用!$C$10,職員設定用!$C$10,職員設定用!$C$5*$C22*100+職員設定用!$C$7*T$3+職員設定用!$C$8)
+IF(職員設定用!$D$5*$C22*100+職員設定用!$D$7*T$3+職員設定用!$D$8&gt;=職員設定用!$D$10,職員設定用!$D$10,職員設定用!$D$5*$C22*100+職員設定用!$D$7*T$3+職員設定用!$D$8)
+IF(職員設定用!$E$5*$C22*100+職員設定用!$E$7*T$3+職員設定用!$E$8+職員設定用!$E$9*T$3&gt;=職員設定用!$E$10,職員設定用!$E$10,職員設定用!$E$5*$C22*100+職員設定用!$E$7*T$3+職員設定用!$E$8+職員設定用!$E$9*T$3)</f>
        <v>1130000</v>
      </c>
      <c r="U22" s="215">
        <f t="shared" ref="U22" si="135">ROUNDUP(T22/12,-2)</f>
        <v>94200</v>
      </c>
      <c r="V22" s="207">
        <f>IF(職員設定用!$B$5*$C22*100+職員設定用!$B$7*V$3+職員設定用!$B$8&gt;=職員設定用!$B$10,職員設定用!$B$10,職員設定用!$B$5*$C22*100+職員設定用!$B$7*V$3+職員設定用!$B$8)
+IF(職員設定用!$C$5*$C22*100+職員設定用!$C$7*V$3+職員設定用!$C$8&gt;=職員設定用!$C$10,職員設定用!$C$10,職員設定用!$C$5*$C22*100+職員設定用!$C$7*V$3+職員設定用!$C$8)
+IF(職員設定用!$D$5*$C22*100+職員設定用!$D$7*V$3+職員設定用!$D$8&gt;=職員設定用!$D$10,職員設定用!$D$10,職員設定用!$D$5*$C22*100+職員設定用!$D$7*V$3+職員設定用!$D$8)
+IF(職員設定用!$E$5*$C22*100+職員設定用!$E$7*V$3+職員設定用!$E$8+職員設定用!$E$9*V$3&gt;=職員設定用!$E$10,職員設定用!$E$10,職員設定用!$E$5*$C22*100+職員設定用!$E$7*V$3+職員設定用!$E$8+職員設定用!$E$9*V$3)</f>
        <v>1130000</v>
      </c>
      <c r="W22" s="215">
        <f t="shared" ref="W22" si="136">ROUNDUP(V22/12,-2)</f>
        <v>94200</v>
      </c>
    </row>
    <row r="23" spans="2:23" ht="22.5" customHeight="1">
      <c r="B23" s="212">
        <v>900</v>
      </c>
      <c r="C23" s="218">
        <f>IF(B23-職員設定用!$B$19/10000&gt;0,B23-職員設定用!$B$19/10000,0)</f>
        <v>857</v>
      </c>
      <c r="D23" s="207">
        <f>IF(職員設定用!$B$5*$C23*100+職員設定用!$B$7*D$3+職員設定用!$B$8&gt;=職員設定用!$B$10,職員設定用!$B$10,職員設定用!$B$5*$C23*100+職員設定用!$B$7*D$3+職員設定用!$B$8)
+IF(職員設定用!$C$5*$C23*100+職員設定用!$C$7*D$3+職員設定用!$C$8&gt;=職員設定用!$C$10,職員設定用!$C$10,職員設定用!$C$5*$C23*100+職員設定用!$C$7*D$3+職員設定用!$C$8)
+IF(職員設定用!$D$5*$C23*100+職員設定用!$D$7*D$3+職員設定用!$D$8&gt;=職員設定用!$D$10,職員設定用!$D$10,職員設定用!$D$5*$C23*100+職員設定用!$D$7*D$3+職員設定用!$D$8)
+IF(職員設定用!$E$5*$C23*100+職員設定用!$E$7*D$3+職員設定用!$E$8+職員設定用!$E$9*D$3&gt;=職員設定用!$E$10,職員設定用!$E$10,職員設定用!$E$5*$C23*100+職員設定用!$E$7*D$3+職員設定用!$E$8+職員設定用!$E$9*D$3)</f>
        <v>1108830</v>
      </c>
      <c r="E23" s="215">
        <f t="shared" si="0"/>
        <v>92500</v>
      </c>
      <c r="F23" s="207">
        <f>IF(職員設定用!$B$5*$C23*100+職員設定用!$B$7*F$3+職員設定用!$B$8&gt;=職員設定用!$B$10,職員設定用!$B$10,職員設定用!$B$5*$C23*100+職員設定用!$B$7*F$3+職員設定用!$B$8)
+IF(職員設定用!$C$5*$C23*100+職員設定用!$C$7*F$3+職員設定用!$C$8&gt;=職員設定用!$C$10,職員設定用!$C$10,職員設定用!$C$5*$C23*100+職員設定用!$C$7*F$3+職員設定用!$C$8)
+IF(職員設定用!$D$5*$C23*100+職員設定用!$D$7*F$3+職員設定用!$D$8&gt;=職員設定用!$D$10,職員設定用!$D$10,職員設定用!$D$5*$C23*100+職員設定用!$D$7*F$3+職員設定用!$D$8)
+IF(職員設定用!$E$5*$C23*100+職員設定用!$E$7*F$3+職員設定用!$E$8+職員設定用!$E$9*F$3&gt;=職員設定用!$E$10,職員設定用!$E$10,職員設定用!$E$5*$C23*100+職員設定用!$E$7*F$3+職員設定用!$E$8+職員設定用!$E$9*F$3)</f>
        <v>1121030</v>
      </c>
      <c r="G23" s="215">
        <f t="shared" si="0"/>
        <v>93500</v>
      </c>
      <c r="H23" s="207">
        <f>IF(職員設定用!$B$5*$C23*100+職員設定用!$B$7*H$3+職員設定用!$B$8&gt;=職員設定用!$B$10,職員設定用!$B$10,職員設定用!$B$5*$C23*100+職員設定用!$B$7*H$3+職員設定用!$B$8)
+IF(職員設定用!$C$5*$C23*100+職員設定用!$C$7*H$3+職員設定用!$C$8&gt;=職員設定用!$C$10,職員設定用!$C$10,職員設定用!$C$5*$C23*100+職員設定用!$C$7*H$3+職員設定用!$C$8)
+IF(職員設定用!$D$5*$C23*100+職員設定用!$D$7*H$3+職員設定用!$D$8&gt;=職員設定用!$D$10,職員設定用!$D$10,職員設定用!$D$5*$C23*100+職員設定用!$D$7*H$3+職員設定用!$D$8)
+IF(職員設定用!$E$5*$C23*100+職員設定用!$E$7*H$3+職員設定用!$E$8+職員設定用!$E$9*H$3&gt;=職員設定用!$E$10,職員設定用!$E$10,職員設定用!$E$5*$C23*100+職員設定用!$E$7*H$3+職員設定用!$E$8+職員設定用!$E$9*H$3)</f>
        <v>1129553</v>
      </c>
      <c r="I23" s="215">
        <f t="shared" ref="I23" si="137">ROUNDUP(H23/12,-2)</f>
        <v>94200</v>
      </c>
      <c r="J23" s="207">
        <f>IF(職員設定用!$B$5*$C23*100+職員設定用!$B$7*J$3+職員設定用!$B$8&gt;=職員設定用!$B$10,職員設定用!$B$10,職員設定用!$B$5*$C23*100+職員設定用!$B$7*J$3+職員設定用!$B$8)
+IF(職員設定用!$C$5*$C23*100+職員設定用!$C$7*J$3+職員設定用!$C$8&gt;=職員設定用!$C$10,職員設定用!$C$10,職員設定用!$C$5*$C23*100+職員設定用!$C$7*J$3+職員設定用!$C$8)
+IF(職員設定用!$D$5*$C23*100+職員設定用!$D$7*J$3+職員設定用!$D$8&gt;=職員設定用!$D$10,職員設定用!$D$10,職員設定用!$D$5*$C23*100+職員設定用!$D$7*J$3+職員設定用!$D$8)
+IF(職員設定用!$E$5*$C23*100+職員設定用!$E$7*J$3+職員設定用!$E$8+職員設定用!$E$9*J$3&gt;=職員設定用!$E$10,職員設定用!$E$10,職員設定用!$E$5*$C23*100+職員設定用!$E$7*J$3+職員設定用!$E$8+職員設定用!$E$9*J$3)</f>
        <v>1130000</v>
      </c>
      <c r="K23" s="215">
        <f t="shared" ref="K23" si="138">ROUNDUP(J23/12,-2)</f>
        <v>94200</v>
      </c>
      <c r="L23" s="207">
        <f>IF(職員設定用!$B$5*$C23*100+職員設定用!$B$7*L$3+職員設定用!$B$8&gt;=職員設定用!$B$10,職員設定用!$B$10,職員設定用!$B$5*$C23*100+職員設定用!$B$7*L$3+職員設定用!$B$8)
+IF(職員設定用!$C$5*$C23*100+職員設定用!$C$7*L$3+職員設定用!$C$8&gt;=職員設定用!$C$10,職員設定用!$C$10,職員設定用!$C$5*$C23*100+職員設定用!$C$7*L$3+職員設定用!$C$8)
+IF(職員設定用!$D$5*$C23*100+職員設定用!$D$7*L$3+職員設定用!$D$8&gt;=職員設定用!$D$10,職員設定用!$D$10,職員設定用!$D$5*$C23*100+職員設定用!$D$7*L$3+職員設定用!$D$8)
+IF(職員設定用!$E$5*$C23*100+職員設定用!$E$7*L$3+職員設定用!$E$8+職員設定用!$E$9*L$3&gt;=職員設定用!$E$10,職員設定用!$E$10,職員設定用!$E$5*$C23*100+職員設定用!$E$7*L$3+職員設定用!$E$8+職員設定用!$E$9*L$3)</f>
        <v>1130000</v>
      </c>
      <c r="M23" s="215">
        <f t="shared" ref="M23" si="139">ROUNDUP(L23/12,-2)</f>
        <v>94200</v>
      </c>
      <c r="N23" s="207">
        <f>IF(職員設定用!$B$5*$C23*100+職員設定用!$B$7*N$3+職員設定用!$B$8&gt;=職員設定用!$B$10,職員設定用!$B$10,職員設定用!$B$5*$C23*100+職員設定用!$B$7*N$3+職員設定用!$B$8)
+IF(職員設定用!$C$5*$C23*100+職員設定用!$C$7*N$3+職員設定用!$C$8&gt;=職員設定用!$C$10,職員設定用!$C$10,職員設定用!$C$5*$C23*100+職員設定用!$C$7*N$3+職員設定用!$C$8)
+IF(職員設定用!$D$5*$C23*100+職員設定用!$D$7*N$3+職員設定用!$D$8&gt;=職員設定用!$D$10,職員設定用!$D$10,職員設定用!$D$5*$C23*100+職員設定用!$D$7*N$3+職員設定用!$D$8)
+IF(職員設定用!$E$5*$C23*100+職員設定用!$E$7*N$3+職員設定用!$E$8+職員設定用!$E$9*N$3&gt;=職員設定用!$E$10,職員設定用!$E$10,職員設定用!$E$5*$C23*100+職員設定用!$E$7*N$3+職員設定用!$E$8+職員設定用!$E$9*N$3)</f>
        <v>1130000</v>
      </c>
      <c r="O23" s="215">
        <f t="shared" ref="O23" si="140">ROUNDUP(N23/12,-2)</f>
        <v>94200</v>
      </c>
      <c r="P23" s="207">
        <f>IF(職員設定用!$B$5*$C23*100+職員設定用!$B$7*P$3+職員設定用!$B$8&gt;=職員設定用!$B$10,職員設定用!$B$10,職員設定用!$B$5*$C23*100+職員設定用!$B$7*P$3+職員設定用!$B$8)
+IF(職員設定用!$C$5*$C23*100+職員設定用!$C$7*P$3+職員設定用!$C$8&gt;=職員設定用!$C$10,職員設定用!$C$10,職員設定用!$C$5*$C23*100+職員設定用!$C$7*P$3+職員設定用!$C$8)
+IF(職員設定用!$D$5*$C23*100+職員設定用!$D$7*P$3+職員設定用!$D$8&gt;=職員設定用!$D$10,職員設定用!$D$10,職員設定用!$D$5*$C23*100+職員設定用!$D$7*P$3+職員設定用!$D$8)
+IF(職員設定用!$E$5*$C23*100+職員設定用!$E$7*P$3+職員設定用!$E$8+職員設定用!$E$9*P$3&gt;=職員設定用!$E$10,職員設定用!$E$10,職員設定用!$E$5*$C23*100+職員設定用!$E$7*P$3+職員設定用!$E$8+職員設定用!$E$9*P$3)</f>
        <v>1130000</v>
      </c>
      <c r="Q23" s="215">
        <f t="shared" ref="Q23" si="141">ROUNDUP(P23/12,-2)</f>
        <v>94200</v>
      </c>
      <c r="R23" s="207">
        <f>IF(職員設定用!$B$5*$C23*100+職員設定用!$B$7*R$3+職員設定用!$B$8&gt;=職員設定用!$B$10,職員設定用!$B$10,職員設定用!$B$5*$C23*100+職員設定用!$B$7*R$3+職員設定用!$B$8)
+IF(職員設定用!$C$5*$C23*100+職員設定用!$C$7*R$3+職員設定用!$C$8&gt;=職員設定用!$C$10,職員設定用!$C$10,職員設定用!$C$5*$C23*100+職員設定用!$C$7*R$3+職員設定用!$C$8)
+IF(職員設定用!$D$5*$C23*100+職員設定用!$D$7*R$3+職員設定用!$D$8&gt;=職員設定用!$D$10,職員設定用!$D$10,職員設定用!$D$5*$C23*100+職員設定用!$D$7*R$3+職員設定用!$D$8)
+IF(職員設定用!$E$5*$C23*100+職員設定用!$E$7*R$3+職員設定用!$E$8+職員設定用!$E$9*R$3&gt;=職員設定用!$E$10,職員設定用!$E$10,職員設定用!$E$5*$C23*100+職員設定用!$E$7*R$3+職員設定用!$E$8+職員設定用!$E$9*R$3)</f>
        <v>1130000</v>
      </c>
      <c r="S23" s="215">
        <f t="shared" ref="S23" si="142">ROUNDUP(R23/12,-2)</f>
        <v>94200</v>
      </c>
      <c r="T23" s="207">
        <f>IF(職員設定用!$B$5*$C23*100+職員設定用!$B$7*T$3+職員設定用!$B$8&gt;=職員設定用!$B$10,職員設定用!$B$10,職員設定用!$B$5*$C23*100+職員設定用!$B$7*T$3+職員設定用!$B$8)
+IF(職員設定用!$C$5*$C23*100+職員設定用!$C$7*T$3+職員設定用!$C$8&gt;=職員設定用!$C$10,職員設定用!$C$10,職員設定用!$C$5*$C23*100+職員設定用!$C$7*T$3+職員設定用!$C$8)
+IF(職員設定用!$D$5*$C23*100+職員設定用!$D$7*T$3+職員設定用!$D$8&gt;=職員設定用!$D$10,職員設定用!$D$10,職員設定用!$D$5*$C23*100+職員設定用!$D$7*T$3+職員設定用!$D$8)
+IF(職員設定用!$E$5*$C23*100+職員設定用!$E$7*T$3+職員設定用!$E$8+職員設定用!$E$9*T$3&gt;=職員設定用!$E$10,職員設定用!$E$10,職員設定用!$E$5*$C23*100+職員設定用!$E$7*T$3+職員設定用!$E$8+職員設定用!$E$9*T$3)</f>
        <v>1130000</v>
      </c>
      <c r="U23" s="215">
        <f t="shared" ref="U23" si="143">ROUNDUP(T23/12,-2)</f>
        <v>94200</v>
      </c>
      <c r="V23" s="207">
        <f>IF(職員設定用!$B$5*$C23*100+職員設定用!$B$7*V$3+職員設定用!$B$8&gt;=職員設定用!$B$10,職員設定用!$B$10,職員設定用!$B$5*$C23*100+職員設定用!$B$7*V$3+職員設定用!$B$8)
+IF(職員設定用!$C$5*$C23*100+職員設定用!$C$7*V$3+職員設定用!$C$8&gt;=職員設定用!$C$10,職員設定用!$C$10,職員設定用!$C$5*$C23*100+職員設定用!$C$7*V$3+職員設定用!$C$8)
+IF(職員設定用!$D$5*$C23*100+職員設定用!$D$7*V$3+職員設定用!$D$8&gt;=職員設定用!$D$10,職員設定用!$D$10,職員設定用!$D$5*$C23*100+職員設定用!$D$7*V$3+職員設定用!$D$8)
+IF(職員設定用!$E$5*$C23*100+職員設定用!$E$7*V$3+職員設定用!$E$8+職員設定用!$E$9*V$3&gt;=職員設定用!$E$10,職員設定用!$E$10,職員設定用!$E$5*$C23*100+職員設定用!$E$7*V$3+職員設定用!$E$8+職員設定用!$E$9*V$3)</f>
        <v>1130000</v>
      </c>
      <c r="W23" s="215">
        <f t="shared" ref="W23" si="144">ROUNDUP(V23/12,-2)</f>
        <v>94200</v>
      </c>
    </row>
    <row r="24" spans="2:23" ht="22.5" customHeight="1">
      <c r="B24" s="212">
        <v>950</v>
      </c>
      <c r="C24" s="218">
        <f>IF(B24-職員設定用!$B$19/10000&gt;0,B24-職員設定用!$B$19/10000,0)</f>
        <v>907</v>
      </c>
      <c r="D24" s="207">
        <f>IF(職員設定用!$B$5*$C24*100+職員設定用!$B$7*D$3+職員設定用!$B$8&gt;=職員設定用!$B$10,職員設定用!$B$10,職員設定用!$B$5*$C24*100+職員設定用!$B$7*D$3+職員設定用!$B$8)
+IF(職員設定用!$C$5*$C24*100+職員設定用!$C$7*D$3+職員設定用!$C$8&gt;=職員設定用!$C$10,職員設定用!$C$10,職員設定用!$C$5*$C24*100+職員設定用!$C$7*D$3+職員設定用!$C$8)
+IF(職員設定用!$D$5*$C24*100+職員設定用!$D$7*D$3+職員設定用!$D$8&gt;=職員設定用!$D$10,職員設定用!$D$10,職員設定用!$D$5*$C24*100+職員設定用!$D$7*D$3+職員設定用!$D$8)
+IF(職員設定用!$E$5*$C24*100+職員設定用!$E$7*D$3+職員設定用!$E$8+職員設定用!$E$9*D$3&gt;=職員設定用!$E$10,職員設定用!$E$10,職員設定用!$E$5*$C24*100+職員設定用!$E$7*D$3+職員設定用!$E$8+職員設定用!$E$9*D$3)</f>
        <v>1123330</v>
      </c>
      <c r="E24" s="215">
        <f t="shared" si="0"/>
        <v>93700</v>
      </c>
      <c r="F24" s="207">
        <f>IF(職員設定用!$B$5*$C24*100+職員設定用!$B$7*F$3+職員設定用!$B$8&gt;=職員設定用!$B$10,職員設定用!$B$10,職員設定用!$B$5*$C24*100+職員設定用!$B$7*F$3+職員設定用!$B$8)
+IF(職員設定用!$C$5*$C24*100+職員設定用!$C$7*F$3+職員設定用!$C$8&gt;=職員設定用!$C$10,職員設定用!$C$10,職員設定用!$C$5*$C24*100+職員設定用!$C$7*F$3+職員設定用!$C$8)
+IF(職員設定用!$D$5*$C24*100+職員設定用!$D$7*F$3+職員設定用!$D$8&gt;=職員設定用!$D$10,職員設定用!$D$10,職員設定用!$D$5*$C24*100+職員設定用!$D$7*F$3+職員設定用!$D$8)
+IF(職員設定用!$E$5*$C24*100+職員設定用!$E$7*F$3+職員設定用!$E$8+職員設定用!$E$9*F$3&gt;=職員設定用!$E$10,職員設定用!$E$10,職員設定用!$E$5*$C24*100+職員設定用!$E$7*F$3+職員設定用!$E$8+職員設定用!$E$9*F$3)</f>
        <v>1129703</v>
      </c>
      <c r="G24" s="215">
        <f t="shared" si="0"/>
        <v>94200</v>
      </c>
      <c r="H24" s="207">
        <f>IF(職員設定用!$B$5*$C24*100+職員設定用!$B$7*H$3+職員設定用!$B$8&gt;=職員設定用!$B$10,職員設定用!$B$10,職員設定用!$B$5*$C24*100+職員設定用!$B$7*H$3+職員設定用!$B$8)
+IF(職員設定用!$C$5*$C24*100+職員設定用!$C$7*H$3+職員設定用!$C$8&gt;=職員設定用!$C$10,職員設定用!$C$10,職員設定用!$C$5*$C24*100+職員設定用!$C$7*H$3+職員設定用!$C$8)
+IF(職員設定用!$D$5*$C24*100+職員設定用!$D$7*H$3+職員設定用!$D$8&gt;=職員設定用!$D$10,職員設定用!$D$10,職員設定用!$D$5*$C24*100+職員設定用!$D$7*H$3+職員設定用!$D$8)
+IF(職員設定用!$E$5*$C24*100+職員設定用!$E$7*H$3+職員設定用!$E$8+職員設定用!$E$9*H$3&gt;=職員設定用!$E$10,職員設定用!$E$10,職員設定用!$E$5*$C24*100+職員設定用!$E$7*H$3+職員設定用!$E$8+職員設定用!$E$9*H$3)</f>
        <v>1130000</v>
      </c>
      <c r="I24" s="215">
        <f t="shared" ref="I24" si="145">ROUNDUP(H24/12,-2)</f>
        <v>94200</v>
      </c>
      <c r="J24" s="207">
        <f>IF(職員設定用!$B$5*$C24*100+職員設定用!$B$7*J$3+職員設定用!$B$8&gt;=職員設定用!$B$10,職員設定用!$B$10,職員設定用!$B$5*$C24*100+職員設定用!$B$7*J$3+職員設定用!$B$8)
+IF(職員設定用!$C$5*$C24*100+職員設定用!$C$7*J$3+職員設定用!$C$8&gt;=職員設定用!$C$10,職員設定用!$C$10,職員設定用!$C$5*$C24*100+職員設定用!$C$7*J$3+職員設定用!$C$8)
+IF(職員設定用!$D$5*$C24*100+職員設定用!$D$7*J$3+職員設定用!$D$8&gt;=職員設定用!$D$10,職員設定用!$D$10,職員設定用!$D$5*$C24*100+職員設定用!$D$7*J$3+職員設定用!$D$8)
+IF(職員設定用!$E$5*$C24*100+職員設定用!$E$7*J$3+職員設定用!$E$8+職員設定用!$E$9*J$3&gt;=職員設定用!$E$10,職員設定用!$E$10,職員設定用!$E$5*$C24*100+職員設定用!$E$7*J$3+職員設定用!$E$8+職員設定用!$E$9*J$3)</f>
        <v>1130000</v>
      </c>
      <c r="K24" s="215">
        <f t="shared" ref="K24" si="146">ROUNDUP(J24/12,-2)</f>
        <v>94200</v>
      </c>
      <c r="L24" s="207">
        <f>IF(職員設定用!$B$5*$C24*100+職員設定用!$B$7*L$3+職員設定用!$B$8&gt;=職員設定用!$B$10,職員設定用!$B$10,職員設定用!$B$5*$C24*100+職員設定用!$B$7*L$3+職員設定用!$B$8)
+IF(職員設定用!$C$5*$C24*100+職員設定用!$C$7*L$3+職員設定用!$C$8&gt;=職員設定用!$C$10,職員設定用!$C$10,職員設定用!$C$5*$C24*100+職員設定用!$C$7*L$3+職員設定用!$C$8)
+IF(職員設定用!$D$5*$C24*100+職員設定用!$D$7*L$3+職員設定用!$D$8&gt;=職員設定用!$D$10,職員設定用!$D$10,職員設定用!$D$5*$C24*100+職員設定用!$D$7*L$3+職員設定用!$D$8)
+IF(職員設定用!$E$5*$C24*100+職員設定用!$E$7*L$3+職員設定用!$E$8+職員設定用!$E$9*L$3&gt;=職員設定用!$E$10,職員設定用!$E$10,職員設定用!$E$5*$C24*100+職員設定用!$E$7*L$3+職員設定用!$E$8+職員設定用!$E$9*L$3)</f>
        <v>1130000</v>
      </c>
      <c r="M24" s="215">
        <f t="shared" ref="M24" si="147">ROUNDUP(L24/12,-2)</f>
        <v>94200</v>
      </c>
      <c r="N24" s="207">
        <f>IF(職員設定用!$B$5*$C24*100+職員設定用!$B$7*N$3+職員設定用!$B$8&gt;=職員設定用!$B$10,職員設定用!$B$10,職員設定用!$B$5*$C24*100+職員設定用!$B$7*N$3+職員設定用!$B$8)
+IF(職員設定用!$C$5*$C24*100+職員設定用!$C$7*N$3+職員設定用!$C$8&gt;=職員設定用!$C$10,職員設定用!$C$10,職員設定用!$C$5*$C24*100+職員設定用!$C$7*N$3+職員設定用!$C$8)
+IF(職員設定用!$D$5*$C24*100+職員設定用!$D$7*N$3+職員設定用!$D$8&gt;=職員設定用!$D$10,職員設定用!$D$10,職員設定用!$D$5*$C24*100+職員設定用!$D$7*N$3+職員設定用!$D$8)
+IF(職員設定用!$E$5*$C24*100+職員設定用!$E$7*N$3+職員設定用!$E$8+職員設定用!$E$9*N$3&gt;=職員設定用!$E$10,職員設定用!$E$10,職員設定用!$E$5*$C24*100+職員設定用!$E$7*N$3+職員設定用!$E$8+職員設定用!$E$9*N$3)</f>
        <v>1130000</v>
      </c>
      <c r="O24" s="215">
        <f t="shared" ref="O24" si="148">ROUNDUP(N24/12,-2)</f>
        <v>94200</v>
      </c>
      <c r="P24" s="207">
        <f>IF(職員設定用!$B$5*$C24*100+職員設定用!$B$7*P$3+職員設定用!$B$8&gt;=職員設定用!$B$10,職員設定用!$B$10,職員設定用!$B$5*$C24*100+職員設定用!$B$7*P$3+職員設定用!$B$8)
+IF(職員設定用!$C$5*$C24*100+職員設定用!$C$7*P$3+職員設定用!$C$8&gt;=職員設定用!$C$10,職員設定用!$C$10,職員設定用!$C$5*$C24*100+職員設定用!$C$7*P$3+職員設定用!$C$8)
+IF(職員設定用!$D$5*$C24*100+職員設定用!$D$7*P$3+職員設定用!$D$8&gt;=職員設定用!$D$10,職員設定用!$D$10,職員設定用!$D$5*$C24*100+職員設定用!$D$7*P$3+職員設定用!$D$8)
+IF(職員設定用!$E$5*$C24*100+職員設定用!$E$7*P$3+職員設定用!$E$8+職員設定用!$E$9*P$3&gt;=職員設定用!$E$10,職員設定用!$E$10,職員設定用!$E$5*$C24*100+職員設定用!$E$7*P$3+職員設定用!$E$8+職員設定用!$E$9*P$3)</f>
        <v>1130000</v>
      </c>
      <c r="Q24" s="215">
        <f t="shared" ref="Q24" si="149">ROUNDUP(P24/12,-2)</f>
        <v>94200</v>
      </c>
      <c r="R24" s="207">
        <f>IF(職員設定用!$B$5*$C24*100+職員設定用!$B$7*R$3+職員設定用!$B$8&gt;=職員設定用!$B$10,職員設定用!$B$10,職員設定用!$B$5*$C24*100+職員設定用!$B$7*R$3+職員設定用!$B$8)
+IF(職員設定用!$C$5*$C24*100+職員設定用!$C$7*R$3+職員設定用!$C$8&gt;=職員設定用!$C$10,職員設定用!$C$10,職員設定用!$C$5*$C24*100+職員設定用!$C$7*R$3+職員設定用!$C$8)
+IF(職員設定用!$D$5*$C24*100+職員設定用!$D$7*R$3+職員設定用!$D$8&gt;=職員設定用!$D$10,職員設定用!$D$10,職員設定用!$D$5*$C24*100+職員設定用!$D$7*R$3+職員設定用!$D$8)
+IF(職員設定用!$E$5*$C24*100+職員設定用!$E$7*R$3+職員設定用!$E$8+職員設定用!$E$9*R$3&gt;=職員設定用!$E$10,職員設定用!$E$10,職員設定用!$E$5*$C24*100+職員設定用!$E$7*R$3+職員設定用!$E$8+職員設定用!$E$9*R$3)</f>
        <v>1130000</v>
      </c>
      <c r="S24" s="215">
        <f t="shared" ref="S24" si="150">ROUNDUP(R24/12,-2)</f>
        <v>94200</v>
      </c>
      <c r="T24" s="207">
        <f>IF(職員設定用!$B$5*$C24*100+職員設定用!$B$7*T$3+職員設定用!$B$8&gt;=職員設定用!$B$10,職員設定用!$B$10,職員設定用!$B$5*$C24*100+職員設定用!$B$7*T$3+職員設定用!$B$8)
+IF(職員設定用!$C$5*$C24*100+職員設定用!$C$7*T$3+職員設定用!$C$8&gt;=職員設定用!$C$10,職員設定用!$C$10,職員設定用!$C$5*$C24*100+職員設定用!$C$7*T$3+職員設定用!$C$8)
+IF(職員設定用!$D$5*$C24*100+職員設定用!$D$7*T$3+職員設定用!$D$8&gt;=職員設定用!$D$10,職員設定用!$D$10,職員設定用!$D$5*$C24*100+職員設定用!$D$7*T$3+職員設定用!$D$8)
+IF(職員設定用!$E$5*$C24*100+職員設定用!$E$7*T$3+職員設定用!$E$8+職員設定用!$E$9*T$3&gt;=職員設定用!$E$10,職員設定用!$E$10,職員設定用!$E$5*$C24*100+職員設定用!$E$7*T$3+職員設定用!$E$8+職員設定用!$E$9*T$3)</f>
        <v>1130000</v>
      </c>
      <c r="U24" s="215">
        <f t="shared" ref="U24" si="151">ROUNDUP(T24/12,-2)</f>
        <v>94200</v>
      </c>
      <c r="V24" s="207">
        <f>IF(職員設定用!$B$5*$C24*100+職員設定用!$B$7*V$3+職員設定用!$B$8&gt;=職員設定用!$B$10,職員設定用!$B$10,職員設定用!$B$5*$C24*100+職員設定用!$B$7*V$3+職員設定用!$B$8)
+IF(職員設定用!$C$5*$C24*100+職員設定用!$C$7*V$3+職員設定用!$C$8&gt;=職員設定用!$C$10,職員設定用!$C$10,職員設定用!$C$5*$C24*100+職員設定用!$C$7*V$3+職員設定用!$C$8)
+IF(職員設定用!$D$5*$C24*100+職員設定用!$D$7*V$3+職員設定用!$D$8&gt;=職員設定用!$D$10,職員設定用!$D$10,職員設定用!$D$5*$C24*100+職員設定用!$D$7*V$3+職員設定用!$D$8)
+IF(職員設定用!$E$5*$C24*100+職員設定用!$E$7*V$3+職員設定用!$E$8+職員設定用!$E$9*V$3&gt;=職員設定用!$E$10,職員設定用!$E$10,職員設定用!$E$5*$C24*100+職員設定用!$E$7*V$3+職員設定用!$E$8+職員設定用!$E$9*V$3)</f>
        <v>1130000</v>
      </c>
      <c r="W24" s="215">
        <f t="shared" ref="W24" si="152">ROUNDUP(V24/12,-2)</f>
        <v>94200</v>
      </c>
    </row>
    <row r="25" spans="2:23" ht="22.5" customHeight="1">
      <c r="B25" s="212">
        <v>1000</v>
      </c>
      <c r="C25" s="218">
        <f>IF(B25-職員設定用!$B$19/10000&gt;0,B25-職員設定用!$B$19/10000,0)</f>
        <v>957</v>
      </c>
      <c r="D25" s="207">
        <f>IF(職員設定用!$B$5*$C25*100+職員設定用!$B$7*D$3+職員設定用!$B$8&gt;=職員設定用!$B$10,職員設定用!$B$10,職員設定用!$B$5*$C25*100+職員設定用!$B$7*D$3+職員設定用!$B$8)
+IF(職員設定用!$C$5*$C25*100+職員設定用!$C$7*D$3+職員設定用!$C$8&gt;=職員設定用!$C$10,職員設定用!$C$10,職員設定用!$C$5*$C25*100+職員設定用!$C$7*D$3+職員設定用!$C$8)
+IF(職員設定用!$D$5*$C25*100+職員設定用!$D$7*D$3+職員設定用!$D$8&gt;=職員設定用!$D$10,職員設定用!$D$10,職員設定用!$D$5*$C25*100+職員設定用!$D$7*D$3+職員設定用!$D$8)
+IF(職員設定用!$E$5*$C25*100+職員設定用!$E$7*D$3+職員設定用!$E$8+職員設定用!$E$9*D$3&gt;=職員設定用!$E$10,職員設定用!$E$10,職員設定用!$E$5*$C25*100+職員設定用!$E$7*D$3+職員設定用!$E$8+職員設定用!$E$9*D$3)</f>
        <v>1129853</v>
      </c>
      <c r="E25" s="215">
        <f t="shared" si="0"/>
        <v>94200</v>
      </c>
      <c r="F25" s="207">
        <f>IF(職員設定用!$B$5*$C25*100+職員設定用!$B$7*F$3+職員設定用!$B$8&gt;=職員設定用!$B$10,職員設定用!$B$10,職員設定用!$B$5*$C25*100+職員設定用!$B$7*F$3+職員設定用!$B$8)
+IF(職員設定用!$C$5*$C25*100+職員設定用!$C$7*F$3+職員設定用!$C$8&gt;=職員設定用!$C$10,職員設定用!$C$10,職員設定用!$C$5*$C25*100+職員設定用!$C$7*F$3+職員設定用!$C$8)
+IF(職員設定用!$D$5*$C25*100+職員設定用!$D$7*F$3+職員設定用!$D$8&gt;=職員設定用!$D$10,職員設定用!$D$10,職員設定用!$D$5*$C25*100+職員設定用!$D$7*F$3+職員設定用!$D$8)
+IF(職員設定用!$E$5*$C25*100+職員設定用!$E$7*F$3+職員設定用!$E$8+職員設定用!$E$9*F$3&gt;=職員設定用!$E$10,職員設定用!$E$10,職員設定用!$E$5*$C25*100+職員設定用!$E$7*F$3+職員設定用!$E$8+職員設定用!$E$9*F$3)</f>
        <v>1130000</v>
      </c>
      <c r="G25" s="215">
        <f t="shared" si="0"/>
        <v>94200</v>
      </c>
      <c r="H25" s="207">
        <f>IF(職員設定用!$B$5*$C25*100+職員設定用!$B$7*H$3+職員設定用!$B$8&gt;=職員設定用!$B$10,職員設定用!$B$10,職員設定用!$B$5*$C25*100+職員設定用!$B$7*H$3+職員設定用!$B$8)
+IF(職員設定用!$C$5*$C25*100+職員設定用!$C$7*H$3+職員設定用!$C$8&gt;=職員設定用!$C$10,職員設定用!$C$10,職員設定用!$C$5*$C25*100+職員設定用!$C$7*H$3+職員設定用!$C$8)
+IF(職員設定用!$D$5*$C25*100+職員設定用!$D$7*H$3+職員設定用!$D$8&gt;=職員設定用!$D$10,職員設定用!$D$10,職員設定用!$D$5*$C25*100+職員設定用!$D$7*H$3+職員設定用!$D$8)
+IF(職員設定用!$E$5*$C25*100+職員設定用!$E$7*H$3+職員設定用!$E$8+職員設定用!$E$9*H$3&gt;=職員設定用!$E$10,職員設定用!$E$10,職員設定用!$E$5*$C25*100+職員設定用!$E$7*H$3+職員設定用!$E$8+職員設定用!$E$9*H$3)</f>
        <v>1130000</v>
      </c>
      <c r="I25" s="215">
        <f t="shared" ref="I25" si="153">ROUNDUP(H25/12,-2)</f>
        <v>94200</v>
      </c>
      <c r="J25" s="207">
        <f>IF(職員設定用!$B$5*$C25*100+職員設定用!$B$7*J$3+職員設定用!$B$8&gt;=職員設定用!$B$10,職員設定用!$B$10,職員設定用!$B$5*$C25*100+職員設定用!$B$7*J$3+職員設定用!$B$8)
+IF(職員設定用!$C$5*$C25*100+職員設定用!$C$7*J$3+職員設定用!$C$8&gt;=職員設定用!$C$10,職員設定用!$C$10,職員設定用!$C$5*$C25*100+職員設定用!$C$7*J$3+職員設定用!$C$8)
+IF(職員設定用!$D$5*$C25*100+職員設定用!$D$7*J$3+職員設定用!$D$8&gt;=職員設定用!$D$10,職員設定用!$D$10,職員設定用!$D$5*$C25*100+職員設定用!$D$7*J$3+職員設定用!$D$8)
+IF(職員設定用!$E$5*$C25*100+職員設定用!$E$7*J$3+職員設定用!$E$8+職員設定用!$E$9*J$3&gt;=職員設定用!$E$10,職員設定用!$E$10,職員設定用!$E$5*$C25*100+職員設定用!$E$7*J$3+職員設定用!$E$8+職員設定用!$E$9*J$3)</f>
        <v>1130000</v>
      </c>
      <c r="K25" s="215">
        <f t="shared" ref="K25" si="154">ROUNDUP(J25/12,-2)</f>
        <v>94200</v>
      </c>
      <c r="L25" s="207">
        <f>IF(職員設定用!$B$5*$C25*100+職員設定用!$B$7*L$3+職員設定用!$B$8&gt;=職員設定用!$B$10,職員設定用!$B$10,職員設定用!$B$5*$C25*100+職員設定用!$B$7*L$3+職員設定用!$B$8)
+IF(職員設定用!$C$5*$C25*100+職員設定用!$C$7*L$3+職員設定用!$C$8&gt;=職員設定用!$C$10,職員設定用!$C$10,職員設定用!$C$5*$C25*100+職員設定用!$C$7*L$3+職員設定用!$C$8)
+IF(職員設定用!$D$5*$C25*100+職員設定用!$D$7*L$3+職員設定用!$D$8&gt;=職員設定用!$D$10,職員設定用!$D$10,職員設定用!$D$5*$C25*100+職員設定用!$D$7*L$3+職員設定用!$D$8)
+IF(職員設定用!$E$5*$C25*100+職員設定用!$E$7*L$3+職員設定用!$E$8+職員設定用!$E$9*L$3&gt;=職員設定用!$E$10,職員設定用!$E$10,職員設定用!$E$5*$C25*100+職員設定用!$E$7*L$3+職員設定用!$E$8+職員設定用!$E$9*L$3)</f>
        <v>1130000</v>
      </c>
      <c r="M25" s="215">
        <f t="shared" ref="M25" si="155">ROUNDUP(L25/12,-2)</f>
        <v>94200</v>
      </c>
      <c r="N25" s="207">
        <f>IF(職員設定用!$B$5*$C25*100+職員設定用!$B$7*N$3+職員設定用!$B$8&gt;=職員設定用!$B$10,職員設定用!$B$10,職員設定用!$B$5*$C25*100+職員設定用!$B$7*N$3+職員設定用!$B$8)
+IF(職員設定用!$C$5*$C25*100+職員設定用!$C$7*N$3+職員設定用!$C$8&gt;=職員設定用!$C$10,職員設定用!$C$10,職員設定用!$C$5*$C25*100+職員設定用!$C$7*N$3+職員設定用!$C$8)
+IF(職員設定用!$D$5*$C25*100+職員設定用!$D$7*N$3+職員設定用!$D$8&gt;=職員設定用!$D$10,職員設定用!$D$10,職員設定用!$D$5*$C25*100+職員設定用!$D$7*N$3+職員設定用!$D$8)
+IF(職員設定用!$E$5*$C25*100+職員設定用!$E$7*N$3+職員設定用!$E$8+職員設定用!$E$9*N$3&gt;=職員設定用!$E$10,職員設定用!$E$10,職員設定用!$E$5*$C25*100+職員設定用!$E$7*N$3+職員設定用!$E$8+職員設定用!$E$9*N$3)</f>
        <v>1130000</v>
      </c>
      <c r="O25" s="215">
        <f t="shared" ref="O25" si="156">ROUNDUP(N25/12,-2)</f>
        <v>94200</v>
      </c>
      <c r="P25" s="207">
        <f>IF(職員設定用!$B$5*$C25*100+職員設定用!$B$7*P$3+職員設定用!$B$8&gt;=職員設定用!$B$10,職員設定用!$B$10,職員設定用!$B$5*$C25*100+職員設定用!$B$7*P$3+職員設定用!$B$8)
+IF(職員設定用!$C$5*$C25*100+職員設定用!$C$7*P$3+職員設定用!$C$8&gt;=職員設定用!$C$10,職員設定用!$C$10,職員設定用!$C$5*$C25*100+職員設定用!$C$7*P$3+職員設定用!$C$8)
+IF(職員設定用!$D$5*$C25*100+職員設定用!$D$7*P$3+職員設定用!$D$8&gt;=職員設定用!$D$10,職員設定用!$D$10,職員設定用!$D$5*$C25*100+職員設定用!$D$7*P$3+職員設定用!$D$8)
+IF(職員設定用!$E$5*$C25*100+職員設定用!$E$7*P$3+職員設定用!$E$8+職員設定用!$E$9*P$3&gt;=職員設定用!$E$10,職員設定用!$E$10,職員設定用!$E$5*$C25*100+職員設定用!$E$7*P$3+職員設定用!$E$8+職員設定用!$E$9*P$3)</f>
        <v>1130000</v>
      </c>
      <c r="Q25" s="215">
        <f t="shared" ref="Q25" si="157">ROUNDUP(P25/12,-2)</f>
        <v>94200</v>
      </c>
      <c r="R25" s="207">
        <f>IF(職員設定用!$B$5*$C25*100+職員設定用!$B$7*R$3+職員設定用!$B$8&gt;=職員設定用!$B$10,職員設定用!$B$10,職員設定用!$B$5*$C25*100+職員設定用!$B$7*R$3+職員設定用!$B$8)
+IF(職員設定用!$C$5*$C25*100+職員設定用!$C$7*R$3+職員設定用!$C$8&gt;=職員設定用!$C$10,職員設定用!$C$10,職員設定用!$C$5*$C25*100+職員設定用!$C$7*R$3+職員設定用!$C$8)
+IF(職員設定用!$D$5*$C25*100+職員設定用!$D$7*R$3+職員設定用!$D$8&gt;=職員設定用!$D$10,職員設定用!$D$10,職員設定用!$D$5*$C25*100+職員設定用!$D$7*R$3+職員設定用!$D$8)
+IF(職員設定用!$E$5*$C25*100+職員設定用!$E$7*R$3+職員設定用!$E$8+職員設定用!$E$9*R$3&gt;=職員設定用!$E$10,職員設定用!$E$10,職員設定用!$E$5*$C25*100+職員設定用!$E$7*R$3+職員設定用!$E$8+職員設定用!$E$9*R$3)</f>
        <v>1130000</v>
      </c>
      <c r="S25" s="215">
        <f t="shared" ref="S25" si="158">ROUNDUP(R25/12,-2)</f>
        <v>94200</v>
      </c>
      <c r="T25" s="207">
        <f>IF(職員設定用!$B$5*$C25*100+職員設定用!$B$7*T$3+職員設定用!$B$8&gt;=職員設定用!$B$10,職員設定用!$B$10,職員設定用!$B$5*$C25*100+職員設定用!$B$7*T$3+職員設定用!$B$8)
+IF(職員設定用!$C$5*$C25*100+職員設定用!$C$7*T$3+職員設定用!$C$8&gt;=職員設定用!$C$10,職員設定用!$C$10,職員設定用!$C$5*$C25*100+職員設定用!$C$7*T$3+職員設定用!$C$8)
+IF(職員設定用!$D$5*$C25*100+職員設定用!$D$7*T$3+職員設定用!$D$8&gt;=職員設定用!$D$10,職員設定用!$D$10,職員設定用!$D$5*$C25*100+職員設定用!$D$7*T$3+職員設定用!$D$8)
+IF(職員設定用!$E$5*$C25*100+職員設定用!$E$7*T$3+職員設定用!$E$8+職員設定用!$E$9*T$3&gt;=職員設定用!$E$10,職員設定用!$E$10,職員設定用!$E$5*$C25*100+職員設定用!$E$7*T$3+職員設定用!$E$8+職員設定用!$E$9*T$3)</f>
        <v>1130000</v>
      </c>
      <c r="U25" s="215">
        <f t="shared" ref="U25" si="159">ROUNDUP(T25/12,-2)</f>
        <v>94200</v>
      </c>
      <c r="V25" s="207">
        <f>IF(職員設定用!$B$5*$C25*100+職員設定用!$B$7*V$3+職員設定用!$B$8&gt;=職員設定用!$B$10,職員設定用!$B$10,職員設定用!$B$5*$C25*100+職員設定用!$B$7*V$3+職員設定用!$B$8)
+IF(職員設定用!$C$5*$C25*100+職員設定用!$C$7*V$3+職員設定用!$C$8&gt;=職員設定用!$C$10,職員設定用!$C$10,職員設定用!$C$5*$C25*100+職員設定用!$C$7*V$3+職員設定用!$C$8)
+IF(職員設定用!$D$5*$C25*100+職員設定用!$D$7*V$3+職員設定用!$D$8&gt;=職員設定用!$D$10,職員設定用!$D$10,職員設定用!$D$5*$C25*100+職員設定用!$D$7*V$3+職員設定用!$D$8)
+IF(職員設定用!$E$5*$C25*100+職員設定用!$E$7*V$3+職員設定用!$E$8+職員設定用!$E$9*V$3&gt;=職員設定用!$E$10,職員設定用!$E$10,職員設定用!$E$5*$C25*100+職員設定用!$E$7*V$3+職員設定用!$E$8+職員設定用!$E$9*V$3)</f>
        <v>1130000</v>
      </c>
      <c r="W25" s="215">
        <f t="shared" ref="W25" si="160">ROUNDUP(V25/12,-2)</f>
        <v>94200</v>
      </c>
    </row>
    <row r="26" spans="2:23" ht="22.5" customHeight="1">
      <c r="B26" s="212">
        <v>1050</v>
      </c>
      <c r="C26" s="218">
        <f>IF(B26-職員設定用!$B$19/10000&gt;0,B26-職員設定用!$B$19/10000,0)</f>
        <v>1007</v>
      </c>
      <c r="D26" s="207">
        <f>IF(職員設定用!$B$5*$C26*100+職員設定用!$B$7*D$3+職員設定用!$B$8&gt;=職員設定用!$B$10,職員設定用!$B$10,職員設定用!$B$5*$C26*100+職員設定用!$B$7*D$3+職員設定用!$B$8)
+IF(職員設定用!$C$5*$C26*100+職員設定用!$C$7*D$3+職員設定用!$C$8&gt;=職員設定用!$C$10,職員設定用!$C$10,職員設定用!$C$5*$C26*100+職員設定用!$C$7*D$3+職員設定用!$C$8)
+IF(職員設定用!$D$5*$C26*100+職員設定用!$D$7*D$3+職員設定用!$D$8&gt;=職員設定用!$D$10,職員設定用!$D$10,職員設定用!$D$5*$C26*100+職員設定用!$D$7*D$3+職員設定用!$D$8)
+IF(職員設定用!$E$5*$C26*100+職員設定用!$E$7*D$3+職員設定用!$E$8+職員設定用!$E$9*D$3&gt;=職員設定用!$E$10,職員設定用!$E$10,職員設定用!$E$5*$C26*100+職員設定用!$E$7*D$3+職員設定用!$E$8+職員設定用!$E$9*D$3)</f>
        <v>1130000</v>
      </c>
      <c r="E26" s="215">
        <f t="shared" si="0"/>
        <v>94200</v>
      </c>
      <c r="F26" s="207">
        <f>IF(職員設定用!$B$5*$C26*100+職員設定用!$B$7*F$3+職員設定用!$B$8&gt;=職員設定用!$B$10,職員設定用!$B$10,職員設定用!$B$5*$C26*100+職員設定用!$B$7*F$3+職員設定用!$B$8)
+IF(職員設定用!$C$5*$C26*100+職員設定用!$C$7*F$3+職員設定用!$C$8&gt;=職員設定用!$C$10,職員設定用!$C$10,職員設定用!$C$5*$C26*100+職員設定用!$C$7*F$3+職員設定用!$C$8)
+IF(職員設定用!$D$5*$C26*100+職員設定用!$D$7*F$3+職員設定用!$D$8&gt;=職員設定用!$D$10,職員設定用!$D$10,職員設定用!$D$5*$C26*100+職員設定用!$D$7*F$3+職員設定用!$D$8)
+IF(職員設定用!$E$5*$C26*100+職員設定用!$E$7*F$3+職員設定用!$E$8+職員設定用!$E$9*F$3&gt;=職員設定用!$E$10,職員設定用!$E$10,職員設定用!$E$5*$C26*100+職員設定用!$E$7*F$3+職員設定用!$E$8+職員設定用!$E$9*F$3)</f>
        <v>1130000</v>
      </c>
      <c r="G26" s="215">
        <f t="shared" si="0"/>
        <v>94200</v>
      </c>
      <c r="H26" s="207">
        <f>IF(職員設定用!$B$5*$C26*100+職員設定用!$B$7*H$3+職員設定用!$B$8&gt;=職員設定用!$B$10,職員設定用!$B$10,職員設定用!$B$5*$C26*100+職員設定用!$B$7*H$3+職員設定用!$B$8)
+IF(職員設定用!$C$5*$C26*100+職員設定用!$C$7*H$3+職員設定用!$C$8&gt;=職員設定用!$C$10,職員設定用!$C$10,職員設定用!$C$5*$C26*100+職員設定用!$C$7*H$3+職員設定用!$C$8)
+IF(職員設定用!$D$5*$C26*100+職員設定用!$D$7*H$3+職員設定用!$D$8&gt;=職員設定用!$D$10,職員設定用!$D$10,職員設定用!$D$5*$C26*100+職員設定用!$D$7*H$3+職員設定用!$D$8)
+IF(職員設定用!$E$5*$C26*100+職員設定用!$E$7*H$3+職員設定用!$E$8+職員設定用!$E$9*H$3&gt;=職員設定用!$E$10,職員設定用!$E$10,職員設定用!$E$5*$C26*100+職員設定用!$E$7*H$3+職員設定用!$E$8+職員設定用!$E$9*H$3)</f>
        <v>1130000</v>
      </c>
      <c r="I26" s="215">
        <f t="shared" ref="I26" si="161">ROUNDUP(H26/12,-2)</f>
        <v>94200</v>
      </c>
      <c r="J26" s="207">
        <f>IF(職員設定用!$B$5*$C26*100+職員設定用!$B$7*J$3+職員設定用!$B$8&gt;=職員設定用!$B$10,職員設定用!$B$10,職員設定用!$B$5*$C26*100+職員設定用!$B$7*J$3+職員設定用!$B$8)
+IF(職員設定用!$C$5*$C26*100+職員設定用!$C$7*J$3+職員設定用!$C$8&gt;=職員設定用!$C$10,職員設定用!$C$10,職員設定用!$C$5*$C26*100+職員設定用!$C$7*J$3+職員設定用!$C$8)
+IF(職員設定用!$D$5*$C26*100+職員設定用!$D$7*J$3+職員設定用!$D$8&gt;=職員設定用!$D$10,職員設定用!$D$10,職員設定用!$D$5*$C26*100+職員設定用!$D$7*J$3+職員設定用!$D$8)
+IF(職員設定用!$E$5*$C26*100+職員設定用!$E$7*J$3+職員設定用!$E$8+職員設定用!$E$9*J$3&gt;=職員設定用!$E$10,職員設定用!$E$10,職員設定用!$E$5*$C26*100+職員設定用!$E$7*J$3+職員設定用!$E$8+職員設定用!$E$9*J$3)</f>
        <v>1130000</v>
      </c>
      <c r="K26" s="215">
        <f t="shared" ref="K26" si="162">ROUNDUP(J26/12,-2)</f>
        <v>94200</v>
      </c>
      <c r="L26" s="207">
        <f>IF(職員設定用!$B$5*$C26*100+職員設定用!$B$7*L$3+職員設定用!$B$8&gt;=職員設定用!$B$10,職員設定用!$B$10,職員設定用!$B$5*$C26*100+職員設定用!$B$7*L$3+職員設定用!$B$8)
+IF(職員設定用!$C$5*$C26*100+職員設定用!$C$7*L$3+職員設定用!$C$8&gt;=職員設定用!$C$10,職員設定用!$C$10,職員設定用!$C$5*$C26*100+職員設定用!$C$7*L$3+職員設定用!$C$8)
+IF(職員設定用!$D$5*$C26*100+職員設定用!$D$7*L$3+職員設定用!$D$8&gt;=職員設定用!$D$10,職員設定用!$D$10,職員設定用!$D$5*$C26*100+職員設定用!$D$7*L$3+職員設定用!$D$8)
+IF(職員設定用!$E$5*$C26*100+職員設定用!$E$7*L$3+職員設定用!$E$8+職員設定用!$E$9*L$3&gt;=職員設定用!$E$10,職員設定用!$E$10,職員設定用!$E$5*$C26*100+職員設定用!$E$7*L$3+職員設定用!$E$8+職員設定用!$E$9*L$3)</f>
        <v>1130000</v>
      </c>
      <c r="M26" s="215">
        <f t="shared" ref="M26" si="163">ROUNDUP(L26/12,-2)</f>
        <v>94200</v>
      </c>
      <c r="N26" s="207">
        <f>IF(職員設定用!$B$5*$C26*100+職員設定用!$B$7*N$3+職員設定用!$B$8&gt;=職員設定用!$B$10,職員設定用!$B$10,職員設定用!$B$5*$C26*100+職員設定用!$B$7*N$3+職員設定用!$B$8)
+IF(職員設定用!$C$5*$C26*100+職員設定用!$C$7*N$3+職員設定用!$C$8&gt;=職員設定用!$C$10,職員設定用!$C$10,職員設定用!$C$5*$C26*100+職員設定用!$C$7*N$3+職員設定用!$C$8)
+IF(職員設定用!$D$5*$C26*100+職員設定用!$D$7*N$3+職員設定用!$D$8&gt;=職員設定用!$D$10,職員設定用!$D$10,職員設定用!$D$5*$C26*100+職員設定用!$D$7*N$3+職員設定用!$D$8)
+IF(職員設定用!$E$5*$C26*100+職員設定用!$E$7*N$3+職員設定用!$E$8+職員設定用!$E$9*N$3&gt;=職員設定用!$E$10,職員設定用!$E$10,職員設定用!$E$5*$C26*100+職員設定用!$E$7*N$3+職員設定用!$E$8+職員設定用!$E$9*N$3)</f>
        <v>1130000</v>
      </c>
      <c r="O26" s="215">
        <f t="shared" ref="O26" si="164">ROUNDUP(N26/12,-2)</f>
        <v>94200</v>
      </c>
      <c r="P26" s="207">
        <f>IF(職員設定用!$B$5*$C26*100+職員設定用!$B$7*P$3+職員設定用!$B$8&gt;=職員設定用!$B$10,職員設定用!$B$10,職員設定用!$B$5*$C26*100+職員設定用!$B$7*P$3+職員設定用!$B$8)
+IF(職員設定用!$C$5*$C26*100+職員設定用!$C$7*P$3+職員設定用!$C$8&gt;=職員設定用!$C$10,職員設定用!$C$10,職員設定用!$C$5*$C26*100+職員設定用!$C$7*P$3+職員設定用!$C$8)
+IF(職員設定用!$D$5*$C26*100+職員設定用!$D$7*P$3+職員設定用!$D$8&gt;=職員設定用!$D$10,職員設定用!$D$10,職員設定用!$D$5*$C26*100+職員設定用!$D$7*P$3+職員設定用!$D$8)
+IF(職員設定用!$E$5*$C26*100+職員設定用!$E$7*P$3+職員設定用!$E$8+職員設定用!$E$9*P$3&gt;=職員設定用!$E$10,職員設定用!$E$10,職員設定用!$E$5*$C26*100+職員設定用!$E$7*P$3+職員設定用!$E$8+職員設定用!$E$9*P$3)</f>
        <v>1130000</v>
      </c>
      <c r="Q26" s="215">
        <f t="shared" ref="Q26" si="165">ROUNDUP(P26/12,-2)</f>
        <v>94200</v>
      </c>
      <c r="R26" s="207">
        <f>IF(職員設定用!$B$5*$C26*100+職員設定用!$B$7*R$3+職員設定用!$B$8&gt;=職員設定用!$B$10,職員設定用!$B$10,職員設定用!$B$5*$C26*100+職員設定用!$B$7*R$3+職員設定用!$B$8)
+IF(職員設定用!$C$5*$C26*100+職員設定用!$C$7*R$3+職員設定用!$C$8&gt;=職員設定用!$C$10,職員設定用!$C$10,職員設定用!$C$5*$C26*100+職員設定用!$C$7*R$3+職員設定用!$C$8)
+IF(職員設定用!$D$5*$C26*100+職員設定用!$D$7*R$3+職員設定用!$D$8&gt;=職員設定用!$D$10,職員設定用!$D$10,職員設定用!$D$5*$C26*100+職員設定用!$D$7*R$3+職員設定用!$D$8)
+IF(職員設定用!$E$5*$C26*100+職員設定用!$E$7*R$3+職員設定用!$E$8+職員設定用!$E$9*R$3&gt;=職員設定用!$E$10,職員設定用!$E$10,職員設定用!$E$5*$C26*100+職員設定用!$E$7*R$3+職員設定用!$E$8+職員設定用!$E$9*R$3)</f>
        <v>1130000</v>
      </c>
      <c r="S26" s="215">
        <f t="shared" ref="S26" si="166">ROUNDUP(R26/12,-2)</f>
        <v>94200</v>
      </c>
      <c r="T26" s="207">
        <f>IF(職員設定用!$B$5*$C26*100+職員設定用!$B$7*T$3+職員設定用!$B$8&gt;=職員設定用!$B$10,職員設定用!$B$10,職員設定用!$B$5*$C26*100+職員設定用!$B$7*T$3+職員設定用!$B$8)
+IF(職員設定用!$C$5*$C26*100+職員設定用!$C$7*T$3+職員設定用!$C$8&gt;=職員設定用!$C$10,職員設定用!$C$10,職員設定用!$C$5*$C26*100+職員設定用!$C$7*T$3+職員設定用!$C$8)
+IF(職員設定用!$D$5*$C26*100+職員設定用!$D$7*T$3+職員設定用!$D$8&gt;=職員設定用!$D$10,職員設定用!$D$10,職員設定用!$D$5*$C26*100+職員設定用!$D$7*T$3+職員設定用!$D$8)
+IF(職員設定用!$E$5*$C26*100+職員設定用!$E$7*T$3+職員設定用!$E$8+職員設定用!$E$9*T$3&gt;=職員設定用!$E$10,職員設定用!$E$10,職員設定用!$E$5*$C26*100+職員設定用!$E$7*T$3+職員設定用!$E$8+職員設定用!$E$9*T$3)</f>
        <v>1130000</v>
      </c>
      <c r="U26" s="215">
        <f t="shared" ref="U26" si="167">ROUNDUP(T26/12,-2)</f>
        <v>94200</v>
      </c>
      <c r="V26" s="207">
        <f>IF(職員設定用!$B$5*$C26*100+職員設定用!$B$7*V$3+職員設定用!$B$8&gt;=職員設定用!$B$10,職員設定用!$B$10,職員設定用!$B$5*$C26*100+職員設定用!$B$7*V$3+職員設定用!$B$8)
+IF(職員設定用!$C$5*$C26*100+職員設定用!$C$7*V$3+職員設定用!$C$8&gt;=職員設定用!$C$10,職員設定用!$C$10,職員設定用!$C$5*$C26*100+職員設定用!$C$7*V$3+職員設定用!$C$8)
+IF(職員設定用!$D$5*$C26*100+職員設定用!$D$7*V$3+職員設定用!$D$8&gt;=職員設定用!$D$10,職員設定用!$D$10,職員設定用!$D$5*$C26*100+職員設定用!$D$7*V$3+職員設定用!$D$8)
+IF(職員設定用!$E$5*$C26*100+職員設定用!$E$7*V$3+職員設定用!$E$8+職員設定用!$E$9*V$3&gt;=職員設定用!$E$10,職員設定用!$E$10,職員設定用!$E$5*$C26*100+職員設定用!$E$7*V$3+職員設定用!$E$8+職員設定用!$E$9*V$3)</f>
        <v>1130000</v>
      </c>
      <c r="W26" s="215">
        <f t="shared" ref="W26" si="168">ROUNDUP(V26/12,-2)</f>
        <v>94200</v>
      </c>
    </row>
    <row r="27" spans="2:23" ht="22.5" customHeight="1">
      <c r="B27" s="212">
        <v>1100</v>
      </c>
      <c r="C27" s="218">
        <f>IF(B27-職員設定用!$B$19/10000&gt;0,B27-職員設定用!$B$19/10000,0)</f>
        <v>1057</v>
      </c>
      <c r="D27" s="207">
        <f>IF(職員設定用!$B$5*$C27*100+職員設定用!$B$7*D$3+職員設定用!$B$8&gt;=職員設定用!$B$10,職員設定用!$B$10,職員設定用!$B$5*$C27*100+職員設定用!$B$7*D$3+職員設定用!$B$8)
+IF(職員設定用!$C$5*$C27*100+職員設定用!$C$7*D$3+職員設定用!$C$8&gt;=職員設定用!$C$10,職員設定用!$C$10,職員設定用!$C$5*$C27*100+職員設定用!$C$7*D$3+職員設定用!$C$8)
+IF(職員設定用!$D$5*$C27*100+職員設定用!$D$7*D$3+職員設定用!$D$8&gt;=職員設定用!$D$10,職員設定用!$D$10,職員設定用!$D$5*$C27*100+職員設定用!$D$7*D$3+職員設定用!$D$8)
+IF(職員設定用!$E$5*$C27*100+職員設定用!$E$7*D$3+職員設定用!$E$8+職員設定用!$E$9*D$3&gt;=職員設定用!$E$10,職員設定用!$E$10,職員設定用!$E$5*$C27*100+職員設定用!$E$7*D$3+職員設定用!$E$8+職員設定用!$E$9*D$3)</f>
        <v>1130000</v>
      </c>
      <c r="E27" s="215">
        <f t="shared" si="0"/>
        <v>94200</v>
      </c>
      <c r="F27" s="207">
        <f>IF(職員設定用!$B$5*$C27*100+職員設定用!$B$7*F$3+職員設定用!$B$8&gt;=職員設定用!$B$10,職員設定用!$B$10,職員設定用!$B$5*$C27*100+職員設定用!$B$7*F$3+職員設定用!$B$8)
+IF(職員設定用!$C$5*$C27*100+職員設定用!$C$7*F$3+職員設定用!$C$8&gt;=職員設定用!$C$10,職員設定用!$C$10,職員設定用!$C$5*$C27*100+職員設定用!$C$7*F$3+職員設定用!$C$8)
+IF(職員設定用!$D$5*$C27*100+職員設定用!$D$7*F$3+職員設定用!$D$8&gt;=職員設定用!$D$10,職員設定用!$D$10,職員設定用!$D$5*$C27*100+職員設定用!$D$7*F$3+職員設定用!$D$8)
+IF(職員設定用!$E$5*$C27*100+職員設定用!$E$7*F$3+職員設定用!$E$8+職員設定用!$E$9*F$3&gt;=職員設定用!$E$10,職員設定用!$E$10,職員設定用!$E$5*$C27*100+職員設定用!$E$7*F$3+職員設定用!$E$8+職員設定用!$E$9*F$3)</f>
        <v>1130000</v>
      </c>
      <c r="G27" s="215">
        <f t="shared" si="0"/>
        <v>94200</v>
      </c>
      <c r="H27" s="207">
        <f>IF(職員設定用!$B$5*$C27*100+職員設定用!$B$7*H$3+職員設定用!$B$8&gt;=職員設定用!$B$10,職員設定用!$B$10,職員設定用!$B$5*$C27*100+職員設定用!$B$7*H$3+職員設定用!$B$8)
+IF(職員設定用!$C$5*$C27*100+職員設定用!$C$7*H$3+職員設定用!$C$8&gt;=職員設定用!$C$10,職員設定用!$C$10,職員設定用!$C$5*$C27*100+職員設定用!$C$7*H$3+職員設定用!$C$8)
+IF(職員設定用!$D$5*$C27*100+職員設定用!$D$7*H$3+職員設定用!$D$8&gt;=職員設定用!$D$10,職員設定用!$D$10,職員設定用!$D$5*$C27*100+職員設定用!$D$7*H$3+職員設定用!$D$8)
+IF(職員設定用!$E$5*$C27*100+職員設定用!$E$7*H$3+職員設定用!$E$8+職員設定用!$E$9*H$3&gt;=職員設定用!$E$10,職員設定用!$E$10,職員設定用!$E$5*$C27*100+職員設定用!$E$7*H$3+職員設定用!$E$8+職員設定用!$E$9*H$3)</f>
        <v>1130000</v>
      </c>
      <c r="I27" s="215">
        <f t="shared" ref="I27" si="169">ROUNDUP(H27/12,-2)</f>
        <v>94200</v>
      </c>
      <c r="J27" s="207">
        <f>IF(職員設定用!$B$5*$C27*100+職員設定用!$B$7*J$3+職員設定用!$B$8&gt;=職員設定用!$B$10,職員設定用!$B$10,職員設定用!$B$5*$C27*100+職員設定用!$B$7*J$3+職員設定用!$B$8)
+IF(職員設定用!$C$5*$C27*100+職員設定用!$C$7*J$3+職員設定用!$C$8&gt;=職員設定用!$C$10,職員設定用!$C$10,職員設定用!$C$5*$C27*100+職員設定用!$C$7*J$3+職員設定用!$C$8)
+IF(職員設定用!$D$5*$C27*100+職員設定用!$D$7*J$3+職員設定用!$D$8&gt;=職員設定用!$D$10,職員設定用!$D$10,職員設定用!$D$5*$C27*100+職員設定用!$D$7*J$3+職員設定用!$D$8)
+IF(職員設定用!$E$5*$C27*100+職員設定用!$E$7*J$3+職員設定用!$E$8+職員設定用!$E$9*J$3&gt;=職員設定用!$E$10,職員設定用!$E$10,職員設定用!$E$5*$C27*100+職員設定用!$E$7*J$3+職員設定用!$E$8+職員設定用!$E$9*J$3)</f>
        <v>1130000</v>
      </c>
      <c r="K27" s="215">
        <f t="shared" ref="K27" si="170">ROUNDUP(J27/12,-2)</f>
        <v>94200</v>
      </c>
      <c r="L27" s="207">
        <f>IF(職員設定用!$B$5*$C27*100+職員設定用!$B$7*L$3+職員設定用!$B$8&gt;=職員設定用!$B$10,職員設定用!$B$10,職員設定用!$B$5*$C27*100+職員設定用!$B$7*L$3+職員設定用!$B$8)
+IF(職員設定用!$C$5*$C27*100+職員設定用!$C$7*L$3+職員設定用!$C$8&gt;=職員設定用!$C$10,職員設定用!$C$10,職員設定用!$C$5*$C27*100+職員設定用!$C$7*L$3+職員設定用!$C$8)
+IF(職員設定用!$D$5*$C27*100+職員設定用!$D$7*L$3+職員設定用!$D$8&gt;=職員設定用!$D$10,職員設定用!$D$10,職員設定用!$D$5*$C27*100+職員設定用!$D$7*L$3+職員設定用!$D$8)
+IF(職員設定用!$E$5*$C27*100+職員設定用!$E$7*L$3+職員設定用!$E$8+職員設定用!$E$9*L$3&gt;=職員設定用!$E$10,職員設定用!$E$10,職員設定用!$E$5*$C27*100+職員設定用!$E$7*L$3+職員設定用!$E$8+職員設定用!$E$9*L$3)</f>
        <v>1130000</v>
      </c>
      <c r="M27" s="215">
        <f t="shared" ref="M27" si="171">ROUNDUP(L27/12,-2)</f>
        <v>94200</v>
      </c>
      <c r="N27" s="207">
        <f>IF(職員設定用!$B$5*$C27*100+職員設定用!$B$7*N$3+職員設定用!$B$8&gt;=職員設定用!$B$10,職員設定用!$B$10,職員設定用!$B$5*$C27*100+職員設定用!$B$7*N$3+職員設定用!$B$8)
+IF(職員設定用!$C$5*$C27*100+職員設定用!$C$7*N$3+職員設定用!$C$8&gt;=職員設定用!$C$10,職員設定用!$C$10,職員設定用!$C$5*$C27*100+職員設定用!$C$7*N$3+職員設定用!$C$8)
+IF(職員設定用!$D$5*$C27*100+職員設定用!$D$7*N$3+職員設定用!$D$8&gt;=職員設定用!$D$10,職員設定用!$D$10,職員設定用!$D$5*$C27*100+職員設定用!$D$7*N$3+職員設定用!$D$8)
+IF(職員設定用!$E$5*$C27*100+職員設定用!$E$7*N$3+職員設定用!$E$8+職員設定用!$E$9*N$3&gt;=職員設定用!$E$10,職員設定用!$E$10,職員設定用!$E$5*$C27*100+職員設定用!$E$7*N$3+職員設定用!$E$8+職員設定用!$E$9*N$3)</f>
        <v>1130000</v>
      </c>
      <c r="O27" s="215">
        <f t="shared" ref="O27" si="172">ROUNDUP(N27/12,-2)</f>
        <v>94200</v>
      </c>
      <c r="P27" s="207">
        <f>IF(職員設定用!$B$5*$C27*100+職員設定用!$B$7*P$3+職員設定用!$B$8&gt;=職員設定用!$B$10,職員設定用!$B$10,職員設定用!$B$5*$C27*100+職員設定用!$B$7*P$3+職員設定用!$B$8)
+IF(職員設定用!$C$5*$C27*100+職員設定用!$C$7*P$3+職員設定用!$C$8&gt;=職員設定用!$C$10,職員設定用!$C$10,職員設定用!$C$5*$C27*100+職員設定用!$C$7*P$3+職員設定用!$C$8)
+IF(職員設定用!$D$5*$C27*100+職員設定用!$D$7*P$3+職員設定用!$D$8&gt;=職員設定用!$D$10,職員設定用!$D$10,職員設定用!$D$5*$C27*100+職員設定用!$D$7*P$3+職員設定用!$D$8)
+IF(職員設定用!$E$5*$C27*100+職員設定用!$E$7*P$3+職員設定用!$E$8+職員設定用!$E$9*P$3&gt;=職員設定用!$E$10,職員設定用!$E$10,職員設定用!$E$5*$C27*100+職員設定用!$E$7*P$3+職員設定用!$E$8+職員設定用!$E$9*P$3)</f>
        <v>1130000</v>
      </c>
      <c r="Q27" s="215">
        <f t="shared" ref="Q27" si="173">ROUNDUP(P27/12,-2)</f>
        <v>94200</v>
      </c>
      <c r="R27" s="207">
        <f>IF(職員設定用!$B$5*$C27*100+職員設定用!$B$7*R$3+職員設定用!$B$8&gt;=職員設定用!$B$10,職員設定用!$B$10,職員設定用!$B$5*$C27*100+職員設定用!$B$7*R$3+職員設定用!$B$8)
+IF(職員設定用!$C$5*$C27*100+職員設定用!$C$7*R$3+職員設定用!$C$8&gt;=職員設定用!$C$10,職員設定用!$C$10,職員設定用!$C$5*$C27*100+職員設定用!$C$7*R$3+職員設定用!$C$8)
+IF(職員設定用!$D$5*$C27*100+職員設定用!$D$7*R$3+職員設定用!$D$8&gt;=職員設定用!$D$10,職員設定用!$D$10,職員設定用!$D$5*$C27*100+職員設定用!$D$7*R$3+職員設定用!$D$8)
+IF(職員設定用!$E$5*$C27*100+職員設定用!$E$7*R$3+職員設定用!$E$8+職員設定用!$E$9*R$3&gt;=職員設定用!$E$10,職員設定用!$E$10,職員設定用!$E$5*$C27*100+職員設定用!$E$7*R$3+職員設定用!$E$8+職員設定用!$E$9*R$3)</f>
        <v>1130000</v>
      </c>
      <c r="S27" s="215">
        <f t="shared" ref="S27" si="174">ROUNDUP(R27/12,-2)</f>
        <v>94200</v>
      </c>
      <c r="T27" s="207">
        <f>IF(職員設定用!$B$5*$C27*100+職員設定用!$B$7*T$3+職員設定用!$B$8&gt;=職員設定用!$B$10,職員設定用!$B$10,職員設定用!$B$5*$C27*100+職員設定用!$B$7*T$3+職員設定用!$B$8)
+IF(職員設定用!$C$5*$C27*100+職員設定用!$C$7*T$3+職員設定用!$C$8&gt;=職員設定用!$C$10,職員設定用!$C$10,職員設定用!$C$5*$C27*100+職員設定用!$C$7*T$3+職員設定用!$C$8)
+IF(職員設定用!$D$5*$C27*100+職員設定用!$D$7*T$3+職員設定用!$D$8&gt;=職員設定用!$D$10,職員設定用!$D$10,職員設定用!$D$5*$C27*100+職員設定用!$D$7*T$3+職員設定用!$D$8)
+IF(職員設定用!$E$5*$C27*100+職員設定用!$E$7*T$3+職員設定用!$E$8+職員設定用!$E$9*T$3&gt;=職員設定用!$E$10,職員設定用!$E$10,職員設定用!$E$5*$C27*100+職員設定用!$E$7*T$3+職員設定用!$E$8+職員設定用!$E$9*T$3)</f>
        <v>1130000</v>
      </c>
      <c r="U27" s="215">
        <f t="shared" ref="U27" si="175">ROUNDUP(T27/12,-2)</f>
        <v>94200</v>
      </c>
      <c r="V27" s="207">
        <f>IF(職員設定用!$B$5*$C27*100+職員設定用!$B$7*V$3+職員設定用!$B$8&gt;=職員設定用!$B$10,職員設定用!$B$10,職員設定用!$B$5*$C27*100+職員設定用!$B$7*V$3+職員設定用!$B$8)
+IF(職員設定用!$C$5*$C27*100+職員設定用!$C$7*V$3+職員設定用!$C$8&gt;=職員設定用!$C$10,職員設定用!$C$10,職員設定用!$C$5*$C27*100+職員設定用!$C$7*V$3+職員設定用!$C$8)
+IF(職員設定用!$D$5*$C27*100+職員設定用!$D$7*V$3+職員設定用!$D$8&gt;=職員設定用!$D$10,職員設定用!$D$10,職員設定用!$D$5*$C27*100+職員設定用!$D$7*V$3+職員設定用!$D$8)
+IF(職員設定用!$E$5*$C27*100+職員設定用!$E$7*V$3+職員設定用!$E$8+職員設定用!$E$9*V$3&gt;=職員設定用!$E$10,職員設定用!$E$10,職員設定用!$E$5*$C27*100+職員設定用!$E$7*V$3+職員設定用!$E$8+職員設定用!$E$9*V$3)</f>
        <v>1130000</v>
      </c>
      <c r="W27" s="215">
        <f t="shared" ref="W27" si="176">ROUNDUP(V27/12,-2)</f>
        <v>94200</v>
      </c>
    </row>
    <row r="28" spans="2:23" ht="22.5" customHeight="1">
      <c r="B28" s="212">
        <v>1150</v>
      </c>
      <c r="C28" s="218">
        <f>IF(B28-職員設定用!$B$19/10000&gt;0,B28-職員設定用!$B$19/10000,0)</f>
        <v>1107</v>
      </c>
      <c r="D28" s="207">
        <f>IF(職員設定用!$B$5*$C28*100+職員設定用!$B$7*D$3+職員設定用!$B$8&gt;=職員設定用!$B$10,職員設定用!$B$10,職員設定用!$B$5*$C28*100+職員設定用!$B$7*D$3+職員設定用!$B$8)
+IF(職員設定用!$C$5*$C28*100+職員設定用!$C$7*D$3+職員設定用!$C$8&gt;=職員設定用!$C$10,職員設定用!$C$10,職員設定用!$C$5*$C28*100+職員設定用!$C$7*D$3+職員設定用!$C$8)
+IF(職員設定用!$D$5*$C28*100+職員設定用!$D$7*D$3+職員設定用!$D$8&gt;=職員設定用!$D$10,職員設定用!$D$10,職員設定用!$D$5*$C28*100+職員設定用!$D$7*D$3+職員設定用!$D$8)
+IF(職員設定用!$E$5*$C28*100+職員設定用!$E$7*D$3+職員設定用!$E$8+職員設定用!$E$9*D$3&gt;=職員設定用!$E$10,職員設定用!$E$10,職員設定用!$E$5*$C28*100+職員設定用!$E$7*D$3+職員設定用!$E$8+職員設定用!$E$9*D$3)</f>
        <v>1130000</v>
      </c>
      <c r="E28" s="215">
        <f t="shared" si="0"/>
        <v>94200</v>
      </c>
      <c r="F28" s="207">
        <f>IF(職員設定用!$B$5*$C28*100+職員設定用!$B$7*F$3+職員設定用!$B$8&gt;=職員設定用!$B$10,職員設定用!$B$10,職員設定用!$B$5*$C28*100+職員設定用!$B$7*F$3+職員設定用!$B$8)
+IF(職員設定用!$C$5*$C28*100+職員設定用!$C$7*F$3+職員設定用!$C$8&gt;=職員設定用!$C$10,職員設定用!$C$10,職員設定用!$C$5*$C28*100+職員設定用!$C$7*F$3+職員設定用!$C$8)
+IF(職員設定用!$D$5*$C28*100+職員設定用!$D$7*F$3+職員設定用!$D$8&gt;=職員設定用!$D$10,職員設定用!$D$10,職員設定用!$D$5*$C28*100+職員設定用!$D$7*F$3+職員設定用!$D$8)
+IF(職員設定用!$E$5*$C28*100+職員設定用!$E$7*F$3+職員設定用!$E$8+職員設定用!$E$9*F$3&gt;=職員設定用!$E$10,職員設定用!$E$10,職員設定用!$E$5*$C28*100+職員設定用!$E$7*F$3+職員設定用!$E$8+職員設定用!$E$9*F$3)</f>
        <v>1130000</v>
      </c>
      <c r="G28" s="215">
        <f t="shared" si="0"/>
        <v>94200</v>
      </c>
      <c r="H28" s="207">
        <f>IF(職員設定用!$B$5*$C28*100+職員設定用!$B$7*H$3+職員設定用!$B$8&gt;=職員設定用!$B$10,職員設定用!$B$10,職員設定用!$B$5*$C28*100+職員設定用!$B$7*H$3+職員設定用!$B$8)
+IF(職員設定用!$C$5*$C28*100+職員設定用!$C$7*H$3+職員設定用!$C$8&gt;=職員設定用!$C$10,職員設定用!$C$10,職員設定用!$C$5*$C28*100+職員設定用!$C$7*H$3+職員設定用!$C$8)
+IF(職員設定用!$D$5*$C28*100+職員設定用!$D$7*H$3+職員設定用!$D$8&gt;=職員設定用!$D$10,職員設定用!$D$10,職員設定用!$D$5*$C28*100+職員設定用!$D$7*H$3+職員設定用!$D$8)
+IF(職員設定用!$E$5*$C28*100+職員設定用!$E$7*H$3+職員設定用!$E$8+職員設定用!$E$9*H$3&gt;=職員設定用!$E$10,職員設定用!$E$10,職員設定用!$E$5*$C28*100+職員設定用!$E$7*H$3+職員設定用!$E$8+職員設定用!$E$9*H$3)</f>
        <v>1130000</v>
      </c>
      <c r="I28" s="215">
        <f t="shared" ref="I28" si="177">ROUNDUP(H28/12,-2)</f>
        <v>94200</v>
      </c>
      <c r="J28" s="207">
        <f>IF(職員設定用!$B$5*$C28*100+職員設定用!$B$7*J$3+職員設定用!$B$8&gt;=職員設定用!$B$10,職員設定用!$B$10,職員設定用!$B$5*$C28*100+職員設定用!$B$7*J$3+職員設定用!$B$8)
+IF(職員設定用!$C$5*$C28*100+職員設定用!$C$7*J$3+職員設定用!$C$8&gt;=職員設定用!$C$10,職員設定用!$C$10,職員設定用!$C$5*$C28*100+職員設定用!$C$7*J$3+職員設定用!$C$8)
+IF(職員設定用!$D$5*$C28*100+職員設定用!$D$7*J$3+職員設定用!$D$8&gt;=職員設定用!$D$10,職員設定用!$D$10,職員設定用!$D$5*$C28*100+職員設定用!$D$7*J$3+職員設定用!$D$8)
+IF(職員設定用!$E$5*$C28*100+職員設定用!$E$7*J$3+職員設定用!$E$8+職員設定用!$E$9*J$3&gt;=職員設定用!$E$10,職員設定用!$E$10,職員設定用!$E$5*$C28*100+職員設定用!$E$7*J$3+職員設定用!$E$8+職員設定用!$E$9*J$3)</f>
        <v>1130000</v>
      </c>
      <c r="K28" s="215">
        <f t="shared" ref="K28" si="178">ROUNDUP(J28/12,-2)</f>
        <v>94200</v>
      </c>
      <c r="L28" s="207">
        <f>IF(職員設定用!$B$5*$C28*100+職員設定用!$B$7*L$3+職員設定用!$B$8&gt;=職員設定用!$B$10,職員設定用!$B$10,職員設定用!$B$5*$C28*100+職員設定用!$B$7*L$3+職員設定用!$B$8)
+IF(職員設定用!$C$5*$C28*100+職員設定用!$C$7*L$3+職員設定用!$C$8&gt;=職員設定用!$C$10,職員設定用!$C$10,職員設定用!$C$5*$C28*100+職員設定用!$C$7*L$3+職員設定用!$C$8)
+IF(職員設定用!$D$5*$C28*100+職員設定用!$D$7*L$3+職員設定用!$D$8&gt;=職員設定用!$D$10,職員設定用!$D$10,職員設定用!$D$5*$C28*100+職員設定用!$D$7*L$3+職員設定用!$D$8)
+IF(職員設定用!$E$5*$C28*100+職員設定用!$E$7*L$3+職員設定用!$E$8+職員設定用!$E$9*L$3&gt;=職員設定用!$E$10,職員設定用!$E$10,職員設定用!$E$5*$C28*100+職員設定用!$E$7*L$3+職員設定用!$E$8+職員設定用!$E$9*L$3)</f>
        <v>1130000</v>
      </c>
      <c r="M28" s="215">
        <f t="shared" ref="M28" si="179">ROUNDUP(L28/12,-2)</f>
        <v>94200</v>
      </c>
      <c r="N28" s="207">
        <f>IF(職員設定用!$B$5*$C28*100+職員設定用!$B$7*N$3+職員設定用!$B$8&gt;=職員設定用!$B$10,職員設定用!$B$10,職員設定用!$B$5*$C28*100+職員設定用!$B$7*N$3+職員設定用!$B$8)
+IF(職員設定用!$C$5*$C28*100+職員設定用!$C$7*N$3+職員設定用!$C$8&gt;=職員設定用!$C$10,職員設定用!$C$10,職員設定用!$C$5*$C28*100+職員設定用!$C$7*N$3+職員設定用!$C$8)
+IF(職員設定用!$D$5*$C28*100+職員設定用!$D$7*N$3+職員設定用!$D$8&gt;=職員設定用!$D$10,職員設定用!$D$10,職員設定用!$D$5*$C28*100+職員設定用!$D$7*N$3+職員設定用!$D$8)
+IF(職員設定用!$E$5*$C28*100+職員設定用!$E$7*N$3+職員設定用!$E$8+職員設定用!$E$9*N$3&gt;=職員設定用!$E$10,職員設定用!$E$10,職員設定用!$E$5*$C28*100+職員設定用!$E$7*N$3+職員設定用!$E$8+職員設定用!$E$9*N$3)</f>
        <v>1130000</v>
      </c>
      <c r="O28" s="215">
        <f t="shared" ref="O28" si="180">ROUNDUP(N28/12,-2)</f>
        <v>94200</v>
      </c>
      <c r="P28" s="207">
        <f>IF(職員設定用!$B$5*$C28*100+職員設定用!$B$7*P$3+職員設定用!$B$8&gt;=職員設定用!$B$10,職員設定用!$B$10,職員設定用!$B$5*$C28*100+職員設定用!$B$7*P$3+職員設定用!$B$8)
+IF(職員設定用!$C$5*$C28*100+職員設定用!$C$7*P$3+職員設定用!$C$8&gt;=職員設定用!$C$10,職員設定用!$C$10,職員設定用!$C$5*$C28*100+職員設定用!$C$7*P$3+職員設定用!$C$8)
+IF(職員設定用!$D$5*$C28*100+職員設定用!$D$7*P$3+職員設定用!$D$8&gt;=職員設定用!$D$10,職員設定用!$D$10,職員設定用!$D$5*$C28*100+職員設定用!$D$7*P$3+職員設定用!$D$8)
+IF(職員設定用!$E$5*$C28*100+職員設定用!$E$7*P$3+職員設定用!$E$8+職員設定用!$E$9*P$3&gt;=職員設定用!$E$10,職員設定用!$E$10,職員設定用!$E$5*$C28*100+職員設定用!$E$7*P$3+職員設定用!$E$8+職員設定用!$E$9*P$3)</f>
        <v>1130000</v>
      </c>
      <c r="Q28" s="215">
        <f t="shared" ref="Q28" si="181">ROUNDUP(P28/12,-2)</f>
        <v>94200</v>
      </c>
      <c r="R28" s="207">
        <f>IF(職員設定用!$B$5*$C28*100+職員設定用!$B$7*R$3+職員設定用!$B$8&gt;=職員設定用!$B$10,職員設定用!$B$10,職員設定用!$B$5*$C28*100+職員設定用!$B$7*R$3+職員設定用!$B$8)
+IF(職員設定用!$C$5*$C28*100+職員設定用!$C$7*R$3+職員設定用!$C$8&gt;=職員設定用!$C$10,職員設定用!$C$10,職員設定用!$C$5*$C28*100+職員設定用!$C$7*R$3+職員設定用!$C$8)
+IF(職員設定用!$D$5*$C28*100+職員設定用!$D$7*R$3+職員設定用!$D$8&gt;=職員設定用!$D$10,職員設定用!$D$10,職員設定用!$D$5*$C28*100+職員設定用!$D$7*R$3+職員設定用!$D$8)
+IF(職員設定用!$E$5*$C28*100+職員設定用!$E$7*R$3+職員設定用!$E$8+職員設定用!$E$9*R$3&gt;=職員設定用!$E$10,職員設定用!$E$10,職員設定用!$E$5*$C28*100+職員設定用!$E$7*R$3+職員設定用!$E$8+職員設定用!$E$9*R$3)</f>
        <v>1130000</v>
      </c>
      <c r="S28" s="215">
        <f t="shared" ref="S28" si="182">ROUNDUP(R28/12,-2)</f>
        <v>94200</v>
      </c>
      <c r="T28" s="207">
        <f>IF(職員設定用!$B$5*$C28*100+職員設定用!$B$7*T$3+職員設定用!$B$8&gt;=職員設定用!$B$10,職員設定用!$B$10,職員設定用!$B$5*$C28*100+職員設定用!$B$7*T$3+職員設定用!$B$8)
+IF(職員設定用!$C$5*$C28*100+職員設定用!$C$7*T$3+職員設定用!$C$8&gt;=職員設定用!$C$10,職員設定用!$C$10,職員設定用!$C$5*$C28*100+職員設定用!$C$7*T$3+職員設定用!$C$8)
+IF(職員設定用!$D$5*$C28*100+職員設定用!$D$7*T$3+職員設定用!$D$8&gt;=職員設定用!$D$10,職員設定用!$D$10,職員設定用!$D$5*$C28*100+職員設定用!$D$7*T$3+職員設定用!$D$8)
+IF(職員設定用!$E$5*$C28*100+職員設定用!$E$7*T$3+職員設定用!$E$8+職員設定用!$E$9*T$3&gt;=職員設定用!$E$10,職員設定用!$E$10,職員設定用!$E$5*$C28*100+職員設定用!$E$7*T$3+職員設定用!$E$8+職員設定用!$E$9*T$3)</f>
        <v>1130000</v>
      </c>
      <c r="U28" s="215">
        <f t="shared" ref="U28" si="183">ROUNDUP(T28/12,-2)</f>
        <v>94200</v>
      </c>
      <c r="V28" s="207">
        <f>IF(職員設定用!$B$5*$C28*100+職員設定用!$B$7*V$3+職員設定用!$B$8&gt;=職員設定用!$B$10,職員設定用!$B$10,職員設定用!$B$5*$C28*100+職員設定用!$B$7*V$3+職員設定用!$B$8)
+IF(職員設定用!$C$5*$C28*100+職員設定用!$C$7*V$3+職員設定用!$C$8&gt;=職員設定用!$C$10,職員設定用!$C$10,職員設定用!$C$5*$C28*100+職員設定用!$C$7*V$3+職員設定用!$C$8)
+IF(職員設定用!$D$5*$C28*100+職員設定用!$D$7*V$3+職員設定用!$D$8&gt;=職員設定用!$D$10,職員設定用!$D$10,職員設定用!$D$5*$C28*100+職員設定用!$D$7*V$3+職員設定用!$D$8)
+IF(職員設定用!$E$5*$C28*100+職員設定用!$E$7*V$3+職員設定用!$E$8+職員設定用!$E$9*V$3&gt;=職員設定用!$E$10,職員設定用!$E$10,職員設定用!$E$5*$C28*100+職員設定用!$E$7*V$3+職員設定用!$E$8+職員設定用!$E$9*V$3)</f>
        <v>1130000</v>
      </c>
      <c r="W28" s="215">
        <f t="shared" ref="W28" si="184">ROUNDUP(V28/12,-2)</f>
        <v>94200</v>
      </c>
    </row>
    <row r="29" spans="2:23" ht="22.5" customHeight="1">
      <c r="B29" s="212">
        <v>1200</v>
      </c>
      <c r="C29" s="218">
        <f>IF(B29-職員設定用!$B$19/10000&gt;0,B29-職員設定用!$B$19/10000,0)</f>
        <v>1157</v>
      </c>
      <c r="D29" s="207">
        <f>IF(職員設定用!$B$5*$C29*100+職員設定用!$B$7*D$3+職員設定用!$B$8&gt;=職員設定用!$B$10,職員設定用!$B$10,職員設定用!$B$5*$C29*100+職員設定用!$B$7*D$3+職員設定用!$B$8)
+IF(職員設定用!$C$5*$C29*100+職員設定用!$C$7*D$3+職員設定用!$C$8&gt;=職員設定用!$C$10,職員設定用!$C$10,職員設定用!$C$5*$C29*100+職員設定用!$C$7*D$3+職員設定用!$C$8)
+IF(職員設定用!$D$5*$C29*100+職員設定用!$D$7*D$3+職員設定用!$D$8&gt;=職員設定用!$D$10,職員設定用!$D$10,職員設定用!$D$5*$C29*100+職員設定用!$D$7*D$3+職員設定用!$D$8)
+IF(職員設定用!$E$5*$C29*100+職員設定用!$E$7*D$3+職員設定用!$E$8+職員設定用!$E$9*D$3&gt;=職員設定用!$E$10,職員設定用!$E$10,職員設定用!$E$5*$C29*100+職員設定用!$E$7*D$3+職員設定用!$E$8+職員設定用!$E$9*D$3)</f>
        <v>1130000</v>
      </c>
      <c r="E29" s="215">
        <f t="shared" si="0"/>
        <v>94200</v>
      </c>
      <c r="F29" s="207">
        <f>IF(職員設定用!$B$5*$C29*100+職員設定用!$B$7*F$3+職員設定用!$B$8&gt;=職員設定用!$B$10,職員設定用!$B$10,職員設定用!$B$5*$C29*100+職員設定用!$B$7*F$3+職員設定用!$B$8)
+IF(職員設定用!$C$5*$C29*100+職員設定用!$C$7*F$3+職員設定用!$C$8&gt;=職員設定用!$C$10,職員設定用!$C$10,職員設定用!$C$5*$C29*100+職員設定用!$C$7*F$3+職員設定用!$C$8)
+IF(職員設定用!$D$5*$C29*100+職員設定用!$D$7*F$3+職員設定用!$D$8&gt;=職員設定用!$D$10,職員設定用!$D$10,職員設定用!$D$5*$C29*100+職員設定用!$D$7*F$3+職員設定用!$D$8)
+IF(職員設定用!$E$5*$C29*100+職員設定用!$E$7*F$3+職員設定用!$E$8+職員設定用!$E$9*F$3&gt;=職員設定用!$E$10,職員設定用!$E$10,職員設定用!$E$5*$C29*100+職員設定用!$E$7*F$3+職員設定用!$E$8+職員設定用!$E$9*F$3)</f>
        <v>1130000</v>
      </c>
      <c r="G29" s="215">
        <f t="shared" si="0"/>
        <v>94200</v>
      </c>
      <c r="H29" s="207">
        <f>IF(職員設定用!$B$5*$C29*100+職員設定用!$B$7*H$3+職員設定用!$B$8&gt;=職員設定用!$B$10,職員設定用!$B$10,職員設定用!$B$5*$C29*100+職員設定用!$B$7*H$3+職員設定用!$B$8)
+IF(職員設定用!$C$5*$C29*100+職員設定用!$C$7*H$3+職員設定用!$C$8&gt;=職員設定用!$C$10,職員設定用!$C$10,職員設定用!$C$5*$C29*100+職員設定用!$C$7*H$3+職員設定用!$C$8)
+IF(職員設定用!$D$5*$C29*100+職員設定用!$D$7*H$3+職員設定用!$D$8&gt;=職員設定用!$D$10,職員設定用!$D$10,職員設定用!$D$5*$C29*100+職員設定用!$D$7*H$3+職員設定用!$D$8)
+IF(職員設定用!$E$5*$C29*100+職員設定用!$E$7*H$3+職員設定用!$E$8+職員設定用!$E$9*H$3&gt;=職員設定用!$E$10,職員設定用!$E$10,職員設定用!$E$5*$C29*100+職員設定用!$E$7*H$3+職員設定用!$E$8+職員設定用!$E$9*H$3)</f>
        <v>1130000</v>
      </c>
      <c r="I29" s="215">
        <f t="shared" ref="I29" si="185">ROUNDUP(H29/12,-2)</f>
        <v>94200</v>
      </c>
      <c r="J29" s="207">
        <f>IF(職員設定用!$B$5*$C29*100+職員設定用!$B$7*J$3+職員設定用!$B$8&gt;=職員設定用!$B$10,職員設定用!$B$10,職員設定用!$B$5*$C29*100+職員設定用!$B$7*J$3+職員設定用!$B$8)
+IF(職員設定用!$C$5*$C29*100+職員設定用!$C$7*J$3+職員設定用!$C$8&gt;=職員設定用!$C$10,職員設定用!$C$10,職員設定用!$C$5*$C29*100+職員設定用!$C$7*J$3+職員設定用!$C$8)
+IF(職員設定用!$D$5*$C29*100+職員設定用!$D$7*J$3+職員設定用!$D$8&gt;=職員設定用!$D$10,職員設定用!$D$10,職員設定用!$D$5*$C29*100+職員設定用!$D$7*J$3+職員設定用!$D$8)
+IF(職員設定用!$E$5*$C29*100+職員設定用!$E$7*J$3+職員設定用!$E$8+職員設定用!$E$9*J$3&gt;=職員設定用!$E$10,職員設定用!$E$10,職員設定用!$E$5*$C29*100+職員設定用!$E$7*J$3+職員設定用!$E$8+職員設定用!$E$9*J$3)</f>
        <v>1130000</v>
      </c>
      <c r="K29" s="215">
        <f t="shared" ref="K29" si="186">ROUNDUP(J29/12,-2)</f>
        <v>94200</v>
      </c>
      <c r="L29" s="207">
        <f>IF(職員設定用!$B$5*$C29*100+職員設定用!$B$7*L$3+職員設定用!$B$8&gt;=職員設定用!$B$10,職員設定用!$B$10,職員設定用!$B$5*$C29*100+職員設定用!$B$7*L$3+職員設定用!$B$8)
+IF(職員設定用!$C$5*$C29*100+職員設定用!$C$7*L$3+職員設定用!$C$8&gt;=職員設定用!$C$10,職員設定用!$C$10,職員設定用!$C$5*$C29*100+職員設定用!$C$7*L$3+職員設定用!$C$8)
+IF(職員設定用!$D$5*$C29*100+職員設定用!$D$7*L$3+職員設定用!$D$8&gt;=職員設定用!$D$10,職員設定用!$D$10,職員設定用!$D$5*$C29*100+職員設定用!$D$7*L$3+職員設定用!$D$8)
+IF(職員設定用!$E$5*$C29*100+職員設定用!$E$7*L$3+職員設定用!$E$8+職員設定用!$E$9*L$3&gt;=職員設定用!$E$10,職員設定用!$E$10,職員設定用!$E$5*$C29*100+職員設定用!$E$7*L$3+職員設定用!$E$8+職員設定用!$E$9*L$3)</f>
        <v>1130000</v>
      </c>
      <c r="M29" s="215">
        <f t="shared" ref="M29" si="187">ROUNDUP(L29/12,-2)</f>
        <v>94200</v>
      </c>
      <c r="N29" s="207">
        <f>IF(職員設定用!$B$5*$C29*100+職員設定用!$B$7*N$3+職員設定用!$B$8&gt;=職員設定用!$B$10,職員設定用!$B$10,職員設定用!$B$5*$C29*100+職員設定用!$B$7*N$3+職員設定用!$B$8)
+IF(職員設定用!$C$5*$C29*100+職員設定用!$C$7*N$3+職員設定用!$C$8&gt;=職員設定用!$C$10,職員設定用!$C$10,職員設定用!$C$5*$C29*100+職員設定用!$C$7*N$3+職員設定用!$C$8)
+IF(職員設定用!$D$5*$C29*100+職員設定用!$D$7*N$3+職員設定用!$D$8&gt;=職員設定用!$D$10,職員設定用!$D$10,職員設定用!$D$5*$C29*100+職員設定用!$D$7*N$3+職員設定用!$D$8)
+IF(職員設定用!$E$5*$C29*100+職員設定用!$E$7*N$3+職員設定用!$E$8+職員設定用!$E$9*N$3&gt;=職員設定用!$E$10,職員設定用!$E$10,職員設定用!$E$5*$C29*100+職員設定用!$E$7*N$3+職員設定用!$E$8+職員設定用!$E$9*N$3)</f>
        <v>1130000</v>
      </c>
      <c r="O29" s="215">
        <f t="shared" ref="O29" si="188">ROUNDUP(N29/12,-2)</f>
        <v>94200</v>
      </c>
      <c r="P29" s="207">
        <f>IF(職員設定用!$B$5*$C29*100+職員設定用!$B$7*P$3+職員設定用!$B$8&gt;=職員設定用!$B$10,職員設定用!$B$10,職員設定用!$B$5*$C29*100+職員設定用!$B$7*P$3+職員設定用!$B$8)
+IF(職員設定用!$C$5*$C29*100+職員設定用!$C$7*P$3+職員設定用!$C$8&gt;=職員設定用!$C$10,職員設定用!$C$10,職員設定用!$C$5*$C29*100+職員設定用!$C$7*P$3+職員設定用!$C$8)
+IF(職員設定用!$D$5*$C29*100+職員設定用!$D$7*P$3+職員設定用!$D$8&gt;=職員設定用!$D$10,職員設定用!$D$10,職員設定用!$D$5*$C29*100+職員設定用!$D$7*P$3+職員設定用!$D$8)
+IF(職員設定用!$E$5*$C29*100+職員設定用!$E$7*P$3+職員設定用!$E$8+職員設定用!$E$9*P$3&gt;=職員設定用!$E$10,職員設定用!$E$10,職員設定用!$E$5*$C29*100+職員設定用!$E$7*P$3+職員設定用!$E$8+職員設定用!$E$9*P$3)</f>
        <v>1130000</v>
      </c>
      <c r="Q29" s="215">
        <f t="shared" ref="Q29" si="189">ROUNDUP(P29/12,-2)</f>
        <v>94200</v>
      </c>
      <c r="R29" s="207">
        <f>IF(職員設定用!$B$5*$C29*100+職員設定用!$B$7*R$3+職員設定用!$B$8&gt;=職員設定用!$B$10,職員設定用!$B$10,職員設定用!$B$5*$C29*100+職員設定用!$B$7*R$3+職員設定用!$B$8)
+IF(職員設定用!$C$5*$C29*100+職員設定用!$C$7*R$3+職員設定用!$C$8&gt;=職員設定用!$C$10,職員設定用!$C$10,職員設定用!$C$5*$C29*100+職員設定用!$C$7*R$3+職員設定用!$C$8)
+IF(職員設定用!$D$5*$C29*100+職員設定用!$D$7*R$3+職員設定用!$D$8&gt;=職員設定用!$D$10,職員設定用!$D$10,職員設定用!$D$5*$C29*100+職員設定用!$D$7*R$3+職員設定用!$D$8)
+IF(職員設定用!$E$5*$C29*100+職員設定用!$E$7*R$3+職員設定用!$E$8+職員設定用!$E$9*R$3&gt;=職員設定用!$E$10,職員設定用!$E$10,職員設定用!$E$5*$C29*100+職員設定用!$E$7*R$3+職員設定用!$E$8+職員設定用!$E$9*R$3)</f>
        <v>1130000</v>
      </c>
      <c r="S29" s="215">
        <f t="shared" ref="S29" si="190">ROUNDUP(R29/12,-2)</f>
        <v>94200</v>
      </c>
      <c r="T29" s="207">
        <f>IF(職員設定用!$B$5*$C29*100+職員設定用!$B$7*T$3+職員設定用!$B$8&gt;=職員設定用!$B$10,職員設定用!$B$10,職員設定用!$B$5*$C29*100+職員設定用!$B$7*T$3+職員設定用!$B$8)
+IF(職員設定用!$C$5*$C29*100+職員設定用!$C$7*T$3+職員設定用!$C$8&gt;=職員設定用!$C$10,職員設定用!$C$10,職員設定用!$C$5*$C29*100+職員設定用!$C$7*T$3+職員設定用!$C$8)
+IF(職員設定用!$D$5*$C29*100+職員設定用!$D$7*T$3+職員設定用!$D$8&gt;=職員設定用!$D$10,職員設定用!$D$10,職員設定用!$D$5*$C29*100+職員設定用!$D$7*T$3+職員設定用!$D$8)
+IF(職員設定用!$E$5*$C29*100+職員設定用!$E$7*T$3+職員設定用!$E$8+職員設定用!$E$9*T$3&gt;=職員設定用!$E$10,職員設定用!$E$10,職員設定用!$E$5*$C29*100+職員設定用!$E$7*T$3+職員設定用!$E$8+職員設定用!$E$9*T$3)</f>
        <v>1130000</v>
      </c>
      <c r="U29" s="215">
        <f t="shared" ref="U29" si="191">ROUNDUP(T29/12,-2)</f>
        <v>94200</v>
      </c>
      <c r="V29" s="207">
        <f>IF(職員設定用!$B$5*$C29*100+職員設定用!$B$7*V$3+職員設定用!$B$8&gt;=職員設定用!$B$10,職員設定用!$B$10,職員設定用!$B$5*$C29*100+職員設定用!$B$7*V$3+職員設定用!$B$8)
+IF(職員設定用!$C$5*$C29*100+職員設定用!$C$7*V$3+職員設定用!$C$8&gt;=職員設定用!$C$10,職員設定用!$C$10,職員設定用!$C$5*$C29*100+職員設定用!$C$7*V$3+職員設定用!$C$8)
+IF(職員設定用!$D$5*$C29*100+職員設定用!$D$7*V$3+職員設定用!$D$8&gt;=職員設定用!$D$10,職員設定用!$D$10,職員設定用!$D$5*$C29*100+職員設定用!$D$7*V$3+職員設定用!$D$8)
+IF(職員設定用!$E$5*$C29*100+職員設定用!$E$7*V$3+職員設定用!$E$8+職員設定用!$E$9*V$3&gt;=職員設定用!$E$10,職員設定用!$E$10,職員設定用!$E$5*$C29*100+職員設定用!$E$7*V$3+職員設定用!$E$8+職員設定用!$E$9*V$3)</f>
        <v>1130000</v>
      </c>
      <c r="W29" s="215">
        <f t="shared" ref="W29" si="192">ROUNDUP(V29/12,-2)</f>
        <v>94200</v>
      </c>
    </row>
    <row r="30" spans="2:23" ht="22.5" customHeight="1">
      <c r="B30" s="212">
        <v>1250</v>
      </c>
      <c r="C30" s="218">
        <f>IF(B30-職員設定用!$B$19/10000&gt;0,B30-職員設定用!$B$19/10000,0)</f>
        <v>1207</v>
      </c>
      <c r="D30" s="207">
        <f>IF(職員設定用!$B$5*$C30*100+職員設定用!$B$7*D$3+職員設定用!$B$8&gt;=職員設定用!$B$10,職員設定用!$B$10,職員設定用!$B$5*$C30*100+職員設定用!$B$7*D$3+職員設定用!$B$8)
+IF(職員設定用!$C$5*$C30*100+職員設定用!$C$7*D$3+職員設定用!$C$8&gt;=職員設定用!$C$10,職員設定用!$C$10,職員設定用!$C$5*$C30*100+職員設定用!$C$7*D$3+職員設定用!$C$8)
+IF(職員設定用!$D$5*$C30*100+職員設定用!$D$7*D$3+職員設定用!$D$8&gt;=職員設定用!$D$10,職員設定用!$D$10,職員設定用!$D$5*$C30*100+職員設定用!$D$7*D$3+職員設定用!$D$8)
+IF(職員設定用!$E$5*$C30*100+職員設定用!$E$7*D$3+職員設定用!$E$8+職員設定用!$E$9*D$3&gt;=職員設定用!$E$10,職員設定用!$E$10,職員設定用!$E$5*$C30*100+職員設定用!$E$7*D$3+職員設定用!$E$8+職員設定用!$E$9*D$3)</f>
        <v>1130000</v>
      </c>
      <c r="E30" s="215">
        <f t="shared" si="0"/>
        <v>94200</v>
      </c>
      <c r="F30" s="207">
        <f>IF(職員設定用!$B$5*$C30*100+職員設定用!$B$7*F$3+職員設定用!$B$8&gt;=職員設定用!$B$10,職員設定用!$B$10,職員設定用!$B$5*$C30*100+職員設定用!$B$7*F$3+職員設定用!$B$8)
+IF(職員設定用!$C$5*$C30*100+職員設定用!$C$7*F$3+職員設定用!$C$8&gt;=職員設定用!$C$10,職員設定用!$C$10,職員設定用!$C$5*$C30*100+職員設定用!$C$7*F$3+職員設定用!$C$8)
+IF(職員設定用!$D$5*$C30*100+職員設定用!$D$7*F$3+職員設定用!$D$8&gt;=職員設定用!$D$10,職員設定用!$D$10,職員設定用!$D$5*$C30*100+職員設定用!$D$7*F$3+職員設定用!$D$8)
+IF(職員設定用!$E$5*$C30*100+職員設定用!$E$7*F$3+職員設定用!$E$8+職員設定用!$E$9*F$3&gt;=職員設定用!$E$10,職員設定用!$E$10,職員設定用!$E$5*$C30*100+職員設定用!$E$7*F$3+職員設定用!$E$8+職員設定用!$E$9*F$3)</f>
        <v>1130000</v>
      </c>
      <c r="G30" s="215">
        <f t="shared" si="0"/>
        <v>94200</v>
      </c>
      <c r="H30" s="207">
        <f>IF(職員設定用!$B$5*$C30*100+職員設定用!$B$7*H$3+職員設定用!$B$8&gt;=職員設定用!$B$10,職員設定用!$B$10,職員設定用!$B$5*$C30*100+職員設定用!$B$7*H$3+職員設定用!$B$8)
+IF(職員設定用!$C$5*$C30*100+職員設定用!$C$7*H$3+職員設定用!$C$8&gt;=職員設定用!$C$10,職員設定用!$C$10,職員設定用!$C$5*$C30*100+職員設定用!$C$7*H$3+職員設定用!$C$8)
+IF(職員設定用!$D$5*$C30*100+職員設定用!$D$7*H$3+職員設定用!$D$8&gt;=職員設定用!$D$10,職員設定用!$D$10,職員設定用!$D$5*$C30*100+職員設定用!$D$7*H$3+職員設定用!$D$8)
+IF(職員設定用!$E$5*$C30*100+職員設定用!$E$7*H$3+職員設定用!$E$8+職員設定用!$E$9*H$3&gt;=職員設定用!$E$10,職員設定用!$E$10,職員設定用!$E$5*$C30*100+職員設定用!$E$7*H$3+職員設定用!$E$8+職員設定用!$E$9*H$3)</f>
        <v>1130000</v>
      </c>
      <c r="I30" s="215">
        <f t="shared" ref="I30" si="193">ROUNDUP(H30/12,-2)</f>
        <v>94200</v>
      </c>
      <c r="J30" s="207">
        <f>IF(職員設定用!$B$5*$C30*100+職員設定用!$B$7*J$3+職員設定用!$B$8&gt;=職員設定用!$B$10,職員設定用!$B$10,職員設定用!$B$5*$C30*100+職員設定用!$B$7*J$3+職員設定用!$B$8)
+IF(職員設定用!$C$5*$C30*100+職員設定用!$C$7*J$3+職員設定用!$C$8&gt;=職員設定用!$C$10,職員設定用!$C$10,職員設定用!$C$5*$C30*100+職員設定用!$C$7*J$3+職員設定用!$C$8)
+IF(職員設定用!$D$5*$C30*100+職員設定用!$D$7*J$3+職員設定用!$D$8&gt;=職員設定用!$D$10,職員設定用!$D$10,職員設定用!$D$5*$C30*100+職員設定用!$D$7*J$3+職員設定用!$D$8)
+IF(職員設定用!$E$5*$C30*100+職員設定用!$E$7*J$3+職員設定用!$E$8+職員設定用!$E$9*J$3&gt;=職員設定用!$E$10,職員設定用!$E$10,職員設定用!$E$5*$C30*100+職員設定用!$E$7*J$3+職員設定用!$E$8+職員設定用!$E$9*J$3)</f>
        <v>1130000</v>
      </c>
      <c r="K30" s="215">
        <f t="shared" ref="K30" si="194">ROUNDUP(J30/12,-2)</f>
        <v>94200</v>
      </c>
      <c r="L30" s="207">
        <f>IF(職員設定用!$B$5*$C30*100+職員設定用!$B$7*L$3+職員設定用!$B$8&gt;=職員設定用!$B$10,職員設定用!$B$10,職員設定用!$B$5*$C30*100+職員設定用!$B$7*L$3+職員設定用!$B$8)
+IF(職員設定用!$C$5*$C30*100+職員設定用!$C$7*L$3+職員設定用!$C$8&gt;=職員設定用!$C$10,職員設定用!$C$10,職員設定用!$C$5*$C30*100+職員設定用!$C$7*L$3+職員設定用!$C$8)
+IF(職員設定用!$D$5*$C30*100+職員設定用!$D$7*L$3+職員設定用!$D$8&gt;=職員設定用!$D$10,職員設定用!$D$10,職員設定用!$D$5*$C30*100+職員設定用!$D$7*L$3+職員設定用!$D$8)
+IF(職員設定用!$E$5*$C30*100+職員設定用!$E$7*L$3+職員設定用!$E$8+職員設定用!$E$9*L$3&gt;=職員設定用!$E$10,職員設定用!$E$10,職員設定用!$E$5*$C30*100+職員設定用!$E$7*L$3+職員設定用!$E$8+職員設定用!$E$9*L$3)</f>
        <v>1130000</v>
      </c>
      <c r="M30" s="215">
        <f t="shared" ref="M30" si="195">ROUNDUP(L30/12,-2)</f>
        <v>94200</v>
      </c>
      <c r="N30" s="207">
        <f>IF(職員設定用!$B$5*$C30*100+職員設定用!$B$7*N$3+職員設定用!$B$8&gt;=職員設定用!$B$10,職員設定用!$B$10,職員設定用!$B$5*$C30*100+職員設定用!$B$7*N$3+職員設定用!$B$8)
+IF(職員設定用!$C$5*$C30*100+職員設定用!$C$7*N$3+職員設定用!$C$8&gt;=職員設定用!$C$10,職員設定用!$C$10,職員設定用!$C$5*$C30*100+職員設定用!$C$7*N$3+職員設定用!$C$8)
+IF(職員設定用!$D$5*$C30*100+職員設定用!$D$7*N$3+職員設定用!$D$8&gt;=職員設定用!$D$10,職員設定用!$D$10,職員設定用!$D$5*$C30*100+職員設定用!$D$7*N$3+職員設定用!$D$8)
+IF(職員設定用!$E$5*$C30*100+職員設定用!$E$7*N$3+職員設定用!$E$8+職員設定用!$E$9*N$3&gt;=職員設定用!$E$10,職員設定用!$E$10,職員設定用!$E$5*$C30*100+職員設定用!$E$7*N$3+職員設定用!$E$8+職員設定用!$E$9*N$3)</f>
        <v>1130000</v>
      </c>
      <c r="O30" s="215">
        <f t="shared" ref="O30" si="196">ROUNDUP(N30/12,-2)</f>
        <v>94200</v>
      </c>
      <c r="P30" s="207">
        <f>IF(職員設定用!$B$5*$C30*100+職員設定用!$B$7*P$3+職員設定用!$B$8&gt;=職員設定用!$B$10,職員設定用!$B$10,職員設定用!$B$5*$C30*100+職員設定用!$B$7*P$3+職員設定用!$B$8)
+IF(職員設定用!$C$5*$C30*100+職員設定用!$C$7*P$3+職員設定用!$C$8&gt;=職員設定用!$C$10,職員設定用!$C$10,職員設定用!$C$5*$C30*100+職員設定用!$C$7*P$3+職員設定用!$C$8)
+IF(職員設定用!$D$5*$C30*100+職員設定用!$D$7*P$3+職員設定用!$D$8&gt;=職員設定用!$D$10,職員設定用!$D$10,職員設定用!$D$5*$C30*100+職員設定用!$D$7*P$3+職員設定用!$D$8)
+IF(職員設定用!$E$5*$C30*100+職員設定用!$E$7*P$3+職員設定用!$E$8+職員設定用!$E$9*P$3&gt;=職員設定用!$E$10,職員設定用!$E$10,職員設定用!$E$5*$C30*100+職員設定用!$E$7*P$3+職員設定用!$E$8+職員設定用!$E$9*P$3)</f>
        <v>1130000</v>
      </c>
      <c r="Q30" s="215">
        <f t="shared" ref="Q30" si="197">ROUNDUP(P30/12,-2)</f>
        <v>94200</v>
      </c>
      <c r="R30" s="207">
        <f>IF(職員設定用!$B$5*$C30*100+職員設定用!$B$7*R$3+職員設定用!$B$8&gt;=職員設定用!$B$10,職員設定用!$B$10,職員設定用!$B$5*$C30*100+職員設定用!$B$7*R$3+職員設定用!$B$8)
+IF(職員設定用!$C$5*$C30*100+職員設定用!$C$7*R$3+職員設定用!$C$8&gt;=職員設定用!$C$10,職員設定用!$C$10,職員設定用!$C$5*$C30*100+職員設定用!$C$7*R$3+職員設定用!$C$8)
+IF(職員設定用!$D$5*$C30*100+職員設定用!$D$7*R$3+職員設定用!$D$8&gt;=職員設定用!$D$10,職員設定用!$D$10,職員設定用!$D$5*$C30*100+職員設定用!$D$7*R$3+職員設定用!$D$8)
+IF(職員設定用!$E$5*$C30*100+職員設定用!$E$7*R$3+職員設定用!$E$8+職員設定用!$E$9*R$3&gt;=職員設定用!$E$10,職員設定用!$E$10,職員設定用!$E$5*$C30*100+職員設定用!$E$7*R$3+職員設定用!$E$8+職員設定用!$E$9*R$3)</f>
        <v>1130000</v>
      </c>
      <c r="S30" s="215">
        <f t="shared" ref="S30" si="198">ROUNDUP(R30/12,-2)</f>
        <v>94200</v>
      </c>
      <c r="T30" s="207">
        <f>IF(職員設定用!$B$5*$C30*100+職員設定用!$B$7*T$3+職員設定用!$B$8&gt;=職員設定用!$B$10,職員設定用!$B$10,職員設定用!$B$5*$C30*100+職員設定用!$B$7*T$3+職員設定用!$B$8)
+IF(職員設定用!$C$5*$C30*100+職員設定用!$C$7*T$3+職員設定用!$C$8&gt;=職員設定用!$C$10,職員設定用!$C$10,職員設定用!$C$5*$C30*100+職員設定用!$C$7*T$3+職員設定用!$C$8)
+IF(職員設定用!$D$5*$C30*100+職員設定用!$D$7*T$3+職員設定用!$D$8&gt;=職員設定用!$D$10,職員設定用!$D$10,職員設定用!$D$5*$C30*100+職員設定用!$D$7*T$3+職員設定用!$D$8)
+IF(職員設定用!$E$5*$C30*100+職員設定用!$E$7*T$3+職員設定用!$E$8+職員設定用!$E$9*T$3&gt;=職員設定用!$E$10,職員設定用!$E$10,職員設定用!$E$5*$C30*100+職員設定用!$E$7*T$3+職員設定用!$E$8+職員設定用!$E$9*T$3)</f>
        <v>1130000</v>
      </c>
      <c r="U30" s="215">
        <f t="shared" ref="U30" si="199">ROUNDUP(T30/12,-2)</f>
        <v>94200</v>
      </c>
      <c r="V30" s="207">
        <f>IF(職員設定用!$B$5*$C30*100+職員設定用!$B$7*V$3+職員設定用!$B$8&gt;=職員設定用!$B$10,職員設定用!$B$10,職員設定用!$B$5*$C30*100+職員設定用!$B$7*V$3+職員設定用!$B$8)
+IF(職員設定用!$C$5*$C30*100+職員設定用!$C$7*V$3+職員設定用!$C$8&gt;=職員設定用!$C$10,職員設定用!$C$10,職員設定用!$C$5*$C30*100+職員設定用!$C$7*V$3+職員設定用!$C$8)
+IF(職員設定用!$D$5*$C30*100+職員設定用!$D$7*V$3+職員設定用!$D$8&gt;=職員設定用!$D$10,職員設定用!$D$10,職員設定用!$D$5*$C30*100+職員設定用!$D$7*V$3+職員設定用!$D$8)
+IF(職員設定用!$E$5*$C30*100+職員設定用!$E$7*V$3+職員設定用!$E$8+職員設定用!$E$9*V$3&gt;=職員設定用!$E$10,職員設定用!$E$10,職員設定用!$E$5*$C30*100+職員設定用!$E$7*V$3+職員設定用!$E$8+職員設定用!$E$9*V$3)</f>
        <v>1130000</v>
      </c>
      <c r="W30" s="215">
        <f t="shared" ref="W30" si="200">ROUNDUP(V30/12,-2)</f>
        <v>94200</v>
      </c>
    </row>
    <row r="31" spans="2:23" ht="22.5" customHeight="1">
      <c r="B31" s="212">
        <v>1300</v>
      </c>
      <c r="C31" s="218">
        <f>IF(B31-職員設定用!$B$19/10000&gt;0,B31-職員設定用!$B$19/10000,0)</f>
        <v>1257</v>
      </c>
      <c r="D31" s="207">
        <f>IF(職員設定用!$B$5*$C31*100+職員設定用!$B$7*D$3+職員設定用!$B$8&gt;=職員設定用!$B$10,職員設定用!$B$10,職員設定用!$B$5*$C31*100+職員設定用!$B$7*D$3+職員設定用!$B$8)
+IF(職員設定用!$C$5*$C31*100+職員設定用!$C$7*D$3+職員設定用!$C$8&gt;=職員設定用!$C$10,職員設定用!$C$10,職員設定用!$C$5*$C31*100+職員設定用!$C$7*D$3+職員設定用!$C$8)
+IF(職員設定用!$D$5*$C31*100+職員設定用!$D$7*D$3+職員設定用!$D$8&gt;=職員設定用!$D$10,職員設定用!$D$10,職員設定用!$D$5*$C31*100+職員設定用!$D$7*D$3+職員設定用!$D$8)
+IF(職員設定用!$E$5*$C31*100+職員設定用!$E$7*D$3+職員設定用!$E$8+職員設定用!$E$9*D$3&gt;=職員設定用!$E$10,職員設定用!$E$10,職員設定用!$E$5*$C31*100+職員設定用!$E$7*D$3+職員設定用!$E$8+職員設定用!$E$9*D$3)</f>
        <v>1130000</v>
      </c>
      <c r="E31" s="215">
        <f t="shared" si="0"/>
        <v>94200</v>
      </c>
      <c r="F31" s="207">
        <f>IF(職員設定用!$B$5*$C31*100+職員設定用!$B$7*F$3+職員設定用!$B$8&gt;=職員設定用!$B$10,職員設定用!$B$10,職員設定用!$B$5*$C31*100+職員設定用!$B$7*F$3+職員設定用!$B$8)
+IF(職員設定用!$C$5*$C31*100+職員設定用!$C$7*F$3+職員設定用!$C$8&gt;=職員設定用!$C$10,職員設定用!$C$10,職員設定用!$C$5*$C31*100+職員設定用!$C$7*F$3+職員設定用!$C$8)
+IF(職員設定用!$D$5*$C31*100+職員設定用!$D$7*F$3+職員設定用!$D$8&gt;=職員設定用!$D$10,職員設定用!$D$10,職員設定用!$D$5*$C31*100+職員設定用!$D$7*F$3+職員設定用!$D$8)
+IF(職員設定用!$E$5*$C31*100+職員設定用!$E$7*F$3+職員設定用!$E$8+職員設定用!$E$9*F$3&gt;=職員設定用!$E$10,職員設定用!$E$10,職員設定用!$E$5*$C31*100+職員設定用!$E$7*F$3+職員設定用!$E$8+職員設定用!$E$9*F$3)</f>
        <v>1130000</v>
      </c>
      <c r="G31" s="215">
        <f t="shared" si="0"/>
        <v>94200</v>
      </c>
      <c r="H31" s="207">
        <f>IF(職員設定用!$B$5*$C31*100+職員設定用!$B$7*H$3+職員設定用!$B$8&gt;=職員設定用!$B$10,職員設定用!$B$10,職員設定用!$B$5*$C31*100+職員設定用!$B$7*H$3+職員設定用!$B$8)
+IF(職員設定用!$C$5*$C31*100+職員設定用!$C$7*H$3+職員設定用!$C$8&gt;=職員設定用!$C$10,職員設定用!$C$10,職員設定用!$C$5*$C31*100+職員設定用!$C$7*H$3+職員設定用!$C$8)
+IF(職員設定用!$D$5*$C31*100+職員設定用!$D$7*H$3+職員設定用!$D$8&gt;=職員設定用!$D$10,職員設定用!$D$10,職員設定用!$D$5*$C31*100+職員設定用!$D$7*H$3+職員設定用!$D$8)
+IF(職員設定用!$E$5*$C31*100+職員設定用!$E$7*H$3+職員設定用!$E$8+職員設定用!$E$9*H$3&gt;=職員設定用!$E$10,職員設定用!$E$10,職員設定用!$E$5*$C31*100+職員設定用!$E$7*H$3+職員設定用!$E$8+職員設定用!$E$9*H$3)</f>
        <v>1130000</v>
      </c>
      <c r="I31" s="215">
        <f t="shared" ref="I31" si="201">ROUNDUP(H31/12,-2)</f>
        <v>94200</v>
      </c>
      <c r="J31" s="207">
        <f>IF(職員設定用!$B$5*$C31*100+職員設定用!$B$7*J$3+職員設定用!$B$8&gt;=職員設定用!$B$10,職員設定用!$B$10,職員設定用!$B$5*$C31*100+職員設定用!$B$7*J$3+職員設定用!$B$8)
+IF(職員設定用!$C$5*$C31*100+職員設定用!$C$7*J$3+職員設定用!$C$8&gt;=職員設定用!$C$10,職員設定用!$C$10,職員設定用!$C$5*$C31*100+職員設定用!$C$7*J$3+職員設定用!$C$8)
+IF(職員設定用!$D$5*$C31*100+職員設定用!$D$7*J$3+職員設定用!$D$8&gt;=職員設定用!$D$10,職員設定用!$D$10,職員設定用!$D$5*$C31*100+職員設定用!$D$7*J$3+職員設定用!$D$8)
+IF(職員設定用!$E$5*$C31*100+職員設定用!$E$7*J$3+職員設定用!$E$8+職員設定用!$E$9*J$3&gt;=職員設定用!$E$10,職員設定用!$E$10,職員設定用!$E$5*$C31*100+職員設定用!$E$7*J$3+職員設定用!$E$8+職員設定用!$E$9*J$3)</f>
        <v>1130000</v>
      </c>
      <c r="K31" s="215">
        <f t="shared" ref="K31" si="202">ROUNDUP(J31/12,-2)</f>
        <v>94200</v>
      </c>
      <c r="L31" s="207">
        <f>IF(職員設定用!$B$5*$C31*100+職員設定用!$B$7*L$3+職員設定用!$B$8&gt;=職員設定用!$B$10,職員設定用!$B$10,職員設定用!$B$5*$C31*100+職員設定用!$B$7*L$3+職員設定用!$B$8)
+IF(職員設定用!$C$5*$C31*100+職員設定用!$C$7*L$3+職員設定用!$C$8&gt;=職員設定用!$C$10,職員設定用!$C$10,職員設定用!$C$5*$C31*100+職員設定用!$C$7*L$3+職員設定用!$C$8)
+IF(職員設定用!$D$5*$C31*100+職員設定用!$D$7*L$3+職員設定用!$D$8&gt;=職員設定用!$D$10,職員設定用!$D$10,職員設定用!$D$5*$C31*100+職員設定用!$D$7*L$3+職員設定用!$D$8)
+IF(職員設定用!$E$5*$C31*100+職員設定用!$E$7*L$3+職員設定用!$E$8+職員設定用!$E$9*L$3&gt;=職員設定用!$E$10,職員設定用!$E$10,職員設定用!$E$5*$C31*100+職員設定用!$E$7*L$3+職員設定用!$E$8+職員設定用!$E$9*L$3)</f>
        <v>1130000</v>
      </c>
      <c r="M31" s="215">
        <f t="shared" ref="M31" si="203">ROUNDUP(L31/12,-2)</f>
        <v>94200</v>
      </c>
      <c r="N31" s="207">
        <f>IF(職員設定用!$B$5*$C31*100+職員設定用!$B$7*N$3+職員設定用!$B$8&gt;=職員設定用!$B$10,職員設定用!$B$10,職員設定用!$B$5*$C31*100+職員設定用!$B$7*N$3+職員設定用!$B$8)
+IF(職員設定用!$C$5*$C31*100+職員設定用!$C$7*N$3+職員設定用!$C$8&gt;=職員設定用!$C$10,職員設定用!$C$10,職員設定用!$C$5*$C31*100+職員設定用!$C$7*N$3+職員設定用!$C$8)
+IF(職員設定用!$D$5*$C31*100+職員設定用!$D$7*N$3+職員設定用!$D$8&gt;=職員設定用!$D$10,職員設定用!$D$10,職員設定用!$D$5*$C31*100+職員設定用!$D$7*N$3+職員設定用!$D$8)
+IF(職員設定用!$E$5*$C31*100+職員設定用!$E$7*N$3+職員設定用!$E$8+職員設定用!$E$9*N$3&gt;=職員設定用!$E$10,職員設定用!$E$10,職員設定用!$E$5*$C31*100+職員設定用!$E$7*N$3+職員設定用!$E$8+職員設定用!$E$9*N$3)</f>
        <v>1130000</v>
      </c>
      <c r="O31" s="215">
        <f t="shared" ref="O31" si="204">ROUNDUP(N31/12,-2)</f>
        <v>94200</v>
      </c>
      <c r="P31" s="207">
        <f>IF(職員設定用!$B$5*$C31*100+職員設定用!$B$7*P$3+職員設定用!$B$8&gt;=職員設定用!$B$10,職員設定用!$B$10,職員設定用!$B$5*$C31*100+職員設定用!$B$7*P$3+職員設定用!$B$8)
+IF(職員設定用!$C$5*$C31*100+職員設定用!$C$7*P$3+職員設定用!$C$8&gt;=職員設定用!$C$10,職員設定用!$C$10,職員設定用!$C$5*$C31*100+職員設定用!$C$7*P$3+職員設定用!$C$8)
+IF(職員設定用!$D$5*$C31*100+職員設定用!$D$7*P$3+職員設定用!$D$8&gt;=職員設定用!$D$10,職員設定用!$D$10,職員設定用!$D$5*$C31*100+職員設定用!$D$7*P$3+職員設定用!$D$8)
+IF(職員設定用!$E$5*$C31*100+職員設定用!$E$7*P$3+職員設定用!$E$8+職員設定用!$E$9*P$3&gt;=職員設定用!$E$10,職員設定用!$E$10,職員設定用!$E$5*$C31*100+職員設定用!$E$7*P$3+職員設定用!$E$8+職員設定用!$E$9*P$3)</f>
        <v>1130000</v>
      </c>
      <c r="Q31" s="215">
        <f t="shared" ref="Q31" si="205">ROUNDUP(P31/12,-2)</f>
        <v>94200</v>
      </c>
      <c r="R31" s="207">
        <f>IF(職員設定用!$B$5*$C31*100+職員設定用!$B$7*R$3+職員設定用!$B$8&gt;=職員設定用!$B$10,職員設定用!$B$10,職員設定用!$B$5*$C31*100+職員設定用!$B$7*R$3+職員設定用!$B$8)
+IF(職員設定用!$C$5*$C31*100+職員設定用!$C$7*R$3+職員設定用!$C$8&gt;=職員設定用!$C$10,職員設定用!$C$10,職員設定用!$C$5*$C31*100+職員設定用!$C$7*R$3+職員設定用!$C$8)
+IF(職員設定用!$D$5*$C31*100+職員設定用!$D$7*R$3+職員設定用!$D$8&gt;=職員設定用!$D$10,職員設定用!$D$10,職員設定用!$D$5*$C31*100+職員設定用!$D$7*R$3+職員設定用!$D$8)
+IF(職員設定用!$E$5*$C31*100+職員設定用!$E$7*R$3+職員設定用!$E$8+職員設定用!$E$9*R$3&gt;=職員設定用!$E$10,職員設定用!$E$10,職員設定用!$E$5*$C31*100+職員設定用!$E$7*R$3+職員設定用!$E$8+職員設定用!$E$9*R$3)</f>
        <v>1130000</v>
      </c>
      <c r="S31" s="215">
        <f t="shared" ref="S31" si="206">ROUNDUP(R31/12,-2)</f>
        <v>94200</v>
      </c>
      <c r="T31" s="207">
        <f>IF(職員設定用!$B$5*$C31*100+職員設定用!$B$7*T$3+職員設定用!$B$8&gt;=職員設定用!$B$10,職員設定用!$B$10,職員設定用!$B$5*$C31*100+職員設定用!$B$7*T$3+職員設定用!$B$8)
+IF(職員設定用!$C$5*$C31*100+職員設定用!$C$7*T$3+職員設定用!$C$8&gt;=職員設定用!$C$10,職員設定用!$C$10,職員設定用!$C$5*$C31*100+職員設定用!$C$7*T$3+職員設定用!$C$8)
+IF(職員設定用!$D$5*$C31*100+職員設定用!$D$7*T$3+職員設定用!$D$8&gt;=職員設定用!$D$10,職員設定用!$D$10,職員設定用!$D$5*$C31*100+職員設定用!$D$7*T$3+職員設定用!$D$8)
+IF(職員設定用!$E$5*$C31*100+職員設定用!$E$7*T$3+職員設定用!$E$8+職員設定用!$E$9*T$3&gt;=職員設定用!$E$10,職員設定用!$E$10,職員設定用!$E$5*$C31*100+職員設定用!$E$7*T$3+職員設定用!$E$8+職員設定用!$E$9*T$3)</f>
        <v>1130000</v>
      </c>
      <c r="U31" s="215">
        <f t="shared" ref="U31" si="207">ROUNDUP(T31/12,-2)</f>
        <v>94200</v>
      </c>
      <c r="V31" s="207">
        <f>IF(職員設定用!$B$5*$C31*100+職員設定用!$B$7*V$3+職員設定用!$B$8&gt;=職員設定用!$B$10,職員設定用!$B$10,職員設定用!$B$5*$C31*100+職員設定用!$B$7*V$3+職員設定用!$B$8)
+IF(職員設定用!$C$5*$C31*100+職員設定用!$C$7*V$3+職員設定用!$C$8&gt;=職員設定用!$C$10,職員設定用!$C$10,職員設定用!$C$5*$C31*100+職員設定用!$C$7*V$3+職員設定用!$C$8)
+IF(職員設定用!$D$5*$C31*100+職員設定用!$D$7*V$3+職員設定用!$D$8&gt;=職員設定用!$D$10,職員設定用!$D$10,職員設定用!$D$5*$C31*100+職員設定用!$D$7*V$3+職員設定用!$D$8)
+IF(職員設定用!$E$5*$C31*100+職員設定用!$E$7*V$3+職員設定用!$E$8+職員設定用!$E$9*V$3&gt;=職員設定用!$E$10,職員設定用!$E$10,職員設定用!$E$5*$C31*100+職員設定用!$E$7*V$3+職員設定用!$E$8+職員設定用!$E$9*V$3)</f>
        <v>1130000</v>
      </c>
      <c r="W31" s="215">
        <f t="shared" ref="W31" si="208">ROUNDUP(V31/12,-2)</f>
        <v>94200</v>
      </c>
    </row>
    <row r="32" spans="2:23" ht="22.5" customHeight="1">
      <c r="B32" s="212">
        <v>1350</v>
      </c>
      <c r="C32" s="218">
        <f>IF(B32-職員設定用!$B$19/10000&gt;0,B32-職員設定用!$B$19/10000,0)</f>
        <v>1307</v>
      </c>
      <c r="D32" s="207">
        <f>IF(職員設定用!$B$5*$C32*100+職員設定用!$B$7*D$3+職員設定用!$B$8&gt;=職員設定用!$B$10,職員設定用!$B$10,職員設定用!$B$5*$C32*100+職員設定用!$B$7*D$3+職員設定用!$B$8)
+IF(職員設定用!$C$5*$C32*100+職員設定用!$C$7*D$3+職員設定用!$C$8&gt;=職員設定用!$C$10,職員設定用!$C$10,職員設定用!$C$5*$C32*100+職員設定用!$C$7*D$3+職員設定用!$C$8)
+IF(職員設定用!$D$5*$C32*100+職員設定用!$D$7*D$3+職員設定用!$D$8&gt;=職員設定用!$D$10,職員設定用!$D$10,職員設定用!$D$5*$C32*100+職員設定用!$D$7*D$3+職員設定用!$D$8)
+IF(職員設定用!$E$5*$C32*100+職員設定用!$E$7*D$3+職員設定用!$E$8+職員設定用!$E$9*D$3&gt;=職員設定用!$E$10,職員設定用!$E$10,職員設定用!$E$5*$C32*100+職員設定用!$E$7*D$3+職員設定用!$E$8+職員設定用!$E$9*D$3)</f>
        <v>1130000</v>
      </c>
      <c r="E32" s="215">
        <f t="shared" si="0"/>
        <v>94200</v>
      </c>
      <c r="F32" s="207">
        <f>IF(職員設定用!$B$5*$C32*100+職員設定用!$B$7*F$3+職員設定用!$B$8&gt;=職員設定用!$B$10,職員設定用!$B$10,職員設定用!$B$5*$C32*100+職員設定用!$B$7*F$3+職員設定用!$B$8)
+IF(職員設定用!$C$5*$C32*100+職員設定用!$C$7*F$3+職員設定用!$C$8&gt;=職員設定用!$C$10,職員設定用!$C$10,職員設定用!$C$5*$C32*100+職員設定用!$C$7*F$3+職員設定用!$C$8)
+IF(職員設定用!$D$5*$C32*100+職員設定用!$D$7*F$3+職員設定用!$D$8&gt;=職員設定用!$D$10,職員設定用!$D$10,職員設定用!$D$5*$C32*100+職員設定用!$D$7*F$3+職員設定用!$D$8)
+IF(職員設定用!$E$5*$C32*100+職員設定用!$E$7*F$3+職員設定用!$E$8+職員設定用!$E$9*F$3&gt;=職員設定用!$E$10,職員設定用!$E$10,職員設定用!$E$5*$C32*100+職員設定用!$E$7*F$3+職員設定用!$E$8+職員設定用!$E$9*F$3)</f>
        <v>1130000</v>
      </c>
      <c r="G32" s="215">
        <f t="shared" si="0"/>
        <v>94200</v>
      </c>
      <c r="H32" s="207">
        <f>IF(職員設定用!$B$5*$C32*100+職員設定用!$B$7*H$3+職員設定用!$B$8&gt;=職員設定用!$B$10,職員設定用!$B$10,職員設定用!$B$5*$C32*100+職員設定用!$B$7*H$3+職員設定用!$B$8)
+IF(職員設定用!$C$5*$C32*100+職員設定用!$C$7*H$3+職員設定用!$C$8&gt;=職員設定用!$C$10,職員設定用!$C$10,職員設定用!$C$5*$C32*100+職員設定用!$C$7*H$3+職員設定用!$C$8)
+IF(職員設定用!$D$5*$C32*100+職員設定用!$D$7*H$3+職員設定用!$D$8&gt;=職員設定用!$D$10,職員設定用!$D$10,職員設定用!$D$5*$C32*100+職員設定用!$D$7*H$3+職員設定用!$D$8)
+IF(職員設定用!$E$5*$C32*100+職員設定用!$E$7*H$3+職員設定用!$E$8+職員設定用!$E$9*H$3&gt;=職員設定用!$E$10,職員設定用!$E$10,職員設定用!$E$5*$C32*100+職員設定用!$E$7*H$3+職員設定用!$E$8+職員設定用!$E$9*H$3)</f>
        <v>1130000</v>
      </c>
      <c r="I32" s="215">
        <f t="shared" ref="I32" si="209">ROUNDUP(H32/12,-2)</f>
        <v>94200</v>
      </c>
      <c r="J32" s="207">
        <f>IF(職員設定用!$B$5*$C32*100+職員設定用!$B$7*J$3+職員設定用!$B$8&gt;=職員設定用!$B$10,職員設定用!$B$10,職員設定用!$B$5*$C32*100+職員設定用!$B$7*J$3+職員設定用!$B$8)
+IF(職員設定用!$C$5*$C32*100+職員設定用!$C$7*J$3+職員設定用!$C$8&gt;=職員設定用!$C$10,職員設定用!$C$10,職員設定用!$C$5*$C32*100+職員設定用!$C$7*J$3+職員設定用!$C$8)
+IF(職員設定用!$D$5*$C32*100+職員設定用!$D$7*J$3+職員設定用!$D$8&gt;=職員設定用!$D$10,職員設定用!$D$10,職員設定用!$D$5*$C32*100+職員設定用!$D$7*J$3+職員設定用!$D$8)
+IF(職員設定用!$E$5*$C32*100+職員設定用!$E$7*J$3+職員設定用!$E$8+職員設定用!$E$9*J$3&gt;=職員設定用!$E$10,職員設定用!$E$10,職員設定用!$E$5*$C32*100+職員設定用!$E$7*J$3+職員設定用!$E$8+職員設定用!$E$9*J$3)</f>
        <v>1130000</v>
      </c>
      <c r="K32" s="215">
        <f t="shared" ref="K32" si="210">ROUNDUP(J32/12,-2)</f>
        <v>94200</v>
      </c>
      <c r="L32" s="207">
        <f>IF(職員設定用!$B$5*$C32*100+職員設定用!$B$7*L$3+職員設定用!$B$8&gt;=職員設定用!$B$10,職員設定用!$B$10,職員設定用!$B$5*$C32*100+職員設定用!$B$7*L$3+職員設定用!$B$8)
+IF(職員設定用!$C$5*$C32*100+職員設定用!$C$7*L$3+職員設定用!$C$8&gt;=職員設定用!$C$10,職員設定用!$C$10,職員設定用!$C$5*$C32*100+職員設定用!$C$7*L$3+職員設定用!$C$8)
+IF(職員設定用!$D$5*$C32*100+職員設定用!$D$7*L$3+職員設定用!$D$8&gt;=職員設定用!$D$10,職員設定用!$D$10,職員設定用!$D$5*$C32*100+職員設定用!$D$7*L$3+職員設定用!$D$8)
+IF(職員設定用!$E$5*$C32*100+職員設定用!$E$7*L$3+職員設定用!$E$8+職員設定用!$E$9*L$3&gt;=職員設定用!$E$10,職員設定用!$E$10,職員設定用!$E$5*$C32*100+職員設定用!$E$7*L$3+職員設定用!$E$8+職員設定用!$E$9*L$3)</f>
        <v>1130000</v>
      </c>
      <c r="M32" s="215">
        <f t="shared" ref="M32" si="211">ROUNDUP(L32/12,-2)</f>
        <v>94200</v>
      </c>
      <c r="N32" s="207">
        <f>IF(職員設定用!$B$5*$C32*100+職員設定用!$B$7*N$3+職員設定用!$B$8&gt;=職員設定用!$B$10,職員設定用!$B$10,職員設定用!$B$5*$C32*100+職員設定用!$B$7*N$3+職員設定用!$B$8)
+IF(職員設定用!$C$5*$C32*100+職員設定用!$C$7*N$3+職員設定用!$C$8&gt;=職員設定用!$C$10,職員設定用!$C$10,職員設定用!$C$5*$C32*100+職員設定用!$C$7*N$3+職員設定用!$C$8)
+IF(職員設定用!$D$5*$C32*100+職員設定用!$D$7*N$3+職員設定用!$D$8&gt;=職員設定用!$D$10,職員設定用!$D$10,職員設定用!$D$5*$C32*100+職員設定用!$D$7*N$3+職員設定用!$D$8)
+IF(職員設定用!$E$5*$C32*100+職員設定用!$E$7*N$3+職員設定用!$E$8+職員設定用!$E$9*N$3&gt;=職員設定用!$E$10,職員設定用!$E$10,職員設定用!$E$5*$C32*100+職員設定用!$E$7*N$3+職員設定用!$E$8+職員設定用!$E$9*N$3)</f>
        <v>1130000</v>
      </c>
      <c r="O32" s="215">
        <f t="shared" ref="O32" si="212">ROUNDUP(N32/12,-2)</f>
        <v>94200</v>
      </c>
      <c r="P32" s="207">
        <f>IF(職員設定用!$B$5*$C32*100+職員設定用!$B$7*P$3+職員設定用!$B$8&gt;=職員設定用!$B$10,職員設定用!$B$10,職員設定用!$B$5*$C32*100+職員設定用!$B$7*P$3+職員設定用!$B$8)
+IF(職員設定用!$C$5*$C32*100+職員設定用!$C$7*P$3+職員設定用!$C$8&gt;=職員設定用!$C$10,職員設定用!$C$10,職員設定用!$C$5*$C32*100+職員設定用!$C$7*P$3+職員設定用!$C$8)
+IF(職員設定用!$D$5*$C32*100+職員設定用!$D$7*P$3+職員設定用!$D$8&gt;=職員設定用!$D$10,職員設定用!$D$10,職員設定用!$D$5*$C32*100+職員設定用!$D$7*P$3+職員設定用!$D$8)
+IF(職員設定用!$E$5*$C32*100+職員設定用!$E$7*P$3+職員設定用!$E$8+職員設定用!$E$9*P$3&gt;=職員設定用!$E$10,職員設定用!$E$10,職員設定用!$E$5*$C32*100+職員設定用!$E$7*P$3+職員設定用!$E$8+職員設定用!$E$9*P$3)</f>
        <v>1130000</v>
      </c>
      <c r="Q32" s="215">
        <f t="shared" ref="Q32" si="213">ROUNDUP(P32/12,-2)</f>
        <v>94200</v>
      </c>
      <c r="R32" s="207">
        <f>IF(職員設定用!$B$5*$C32*100+職員設定用!$B$7*R$3+職員設定用!$B$8&gt;=職員設定用!$B$10,職員設定用!$B$10,職員設定用!$B$5*$C32*100+職員設定用!$B$7*R$3+職員設定用!$B$8)
+IF(職員設定用!$C$5*$C32*100+職員設定用!$C$7*R$3+職員設定用!$C$8&gt;=職員設定用!$C$10,職員設定用!$C$10,職員設定用!$C$5*$C32*100+職員設定用!$C$7*R$3+職員設定用!$C$8)
+IF(職員設定用!$D$5*$C32*100+職員設定用!$D$7*R$3+職員設定用!$D$8&gt;=職員設定用!$D$10,職員設定用!$D$10,職員設定用!$D$5*$C32*100+職員設定用!$D$7*R$3+職員設定用!$D$8)
+IF(職員設定用!$E$5*$C32*100+職員設定用!$E$7*R$3+職員設定用!$E$8+職員設定用!$E$9*R$3&gt;=職員設定用!$E$10,職員設定用!$E$10,職員設定用!$E$5*$C32*100+職員設定用!$E$7*R$3+職員設定用!$E$8+職員設定用!$E$9*R$3)</f>
        <v>1130000</v>
      </c>
      <c r="S32" s="215">
        <f t="shared" ref="S32" si="214">ROUNDUP(R32/12,-2)</f>
        <v>94200</v>
      </c>
      <c r="T32" s="207">
        <f>IF(職員設定用!$B$5*$C32*100+職員設定用!$B$7*T$3+職員設定用!$B$8&gt;=職員設定用!$B$10,職員設定用!$B$10,職員設定用!$B$5*$C32*100+職員設定用!$B$7*T$3+職員設定用!$B$8)
+IF(職員設定用!$C$5*$C32*100+職員設定用!$C$7*T$3+職員設定用!$C$8&gt;=職員設定用!$C$10,職員設定用!$C$10,職員設定用!$C$5*$C32*100+職員設定用!$C$7*T$3+職員設定用!$C$8)
+IF(職員設定用!$D$5*$C32*100+職員設定用!$D$7*T$3+職員設定用!$D$8&gt;=職員設定用!$D$10,職員設定用!$D$10,職員設定用!$D$5*$C32*100+職員設定用!$D$7*T$3+職員設定用!$D$8)
+IF(職員設定用!$E$5*$C32*100+職員設定用!$E$7*T$3+職員設定用!$E$8+職員設定用!$E$9*T$3&gt;=職員設定用!$E$10,職員設定用!$E$10,職員設定用!$E$5*$C32*100+職員設定用!$E$7*T$3+職員設定用!$E$8+職員設定用!$E$9*T$3)</f>
        <v>1130000</v>
      </c>
      <c r="U32" s="215">
        <f t="shared" ref="U32" si="215">ROUNDUP(T32/12,-2)</f>
        <v>94200</v>
      </c>
      <c r="V32" s="207">
        <f>IF(職員設定用!$B$5*$C32*100+職員設定用!$B$7*V$3+職員設定用!$B$8&gt;=職員設定用!$B$10,職員設定用!$B$10,職員設定用!$B$5*$C32*100+職員設定用!$B$7*V$3+職員設定用!$B$8)
+IF(職員設定用!$C$5*$C32*100+職員設定用!$C$7*V$3+職員設定用!$C$8&gt;=職員設定用!$C$10,職員設定用!$C$10,職員設定用!$C$5*$C32*100+職員設定用!$C$7*V$3+職員設定用!$C$8)
+IF(職員設定用!$D$5*$C32*100+職員設定用!$D$7*V$3+職員設定用!$D$8&gt;=職員設定用!$D$10,職員設定用!$D$10,職員設定用!$D$5*$C32*100+職員設定用!$D$7*V$3+職員設定用!$D$8)
+IF(職員設定用!$E$5*$C32*100+職員設定用!$E$7*V$3+職員設定用!$E$8+職員設定用!$E$9*V$3&gt;=職員設定用!$E$10,職員設定用!$E$10,職員設定用!$E$5*$C32*100+職員設定用!$E$7*V$3+職員設定用!$E$8+職員設定用!$E$9*V$3)</f>
        <v>1130000</v>
      </c>
      <c r="W32" s="215">
        <f t="shared" ref="W32" si="216">ROUNDUP(V32/12,-2)</f>
        <v>94200</v>
      </c>
    </row>
    <row r="33" spans="2:23" ht="22.5" customHeight="1">
      <c r="B33" s="212">
        <v>1400</v>
      </c>
      <c r="C33" s="218">
        <f>IF(B33-職員設定用!$B$19/10000&gt;0,B33-職員設定用!$B$19/10000,0)</f>
        <v>1357</v>
      </c>
      <c r="D33" s="207">
        <f>IF(職員設定用!$B$5*$C33*100+職員設定用!$B$7*D$3+職員設定用!$B$8&gt;=職員設定用!$B$10,職員設定用!$B$10,職員設定用!$B$5*$C33*100+職員設定用!$B$7*D$3+職員設定用!$B$8)
+IF(職員設定用!$C$5*$C33*100+職員設定用!$C$7*D$3+職員設定用!$C$8&gt;=職員設定用!$C$10,職員設定用!$C$10,職員設定用!$C$5*$C33*100+職員設定用!$C$7*D$3+職員設定用!$C$8)
+IF(職員設定用!$D$5*$C33*100+職員設定用!$D$7*D$3+職員設定用!$D$8&gt;=職員設定用!$D$10,職員設定用!$D$10,職員設定用!$D$5*$C33*100+職員設定用!$D$7*D$3+職員設定用!$D$8)
+IF(職員設定用!$E$5*$C33*100+職員設定用!$E$7*D$3+職員設定用!$E$8+職員設定用!$E$9*D$3&gt;=職員設定用!$E$10,職員設定用!$E$10,職員設定用!$E$5*$C33*100+職員設定用!$E$7*D$3+職員設定用!$E$8+職員設定用!$E$9*D$3)</f>
        <v>1130000</v>
      </c>
      <c r="E33" s="215">
        <f t="shared" si="0"/>
        <v>94200</v>
      </c>
      <c r="F33" s="207">
        <f>IF(職員設定用!$B$5*$C33*100+職員設定用!$B$7*F$3+職員設定用!$B$8&gt;=職員設定用!$B$10,職員設定用!$B$10,職員設定用!$B$5*$C33*100+職員設定用!$B$7*F$3+職員設定用!$B$8)
+IF(職員設定用!$C$5*$C33*100+職員設定用!$C$7*F$3+職員設定用!$C$8&gt;=職員設定用!$C$10,職員設定用!$C$10,職員設定用!$C$5*$C33*100+職員設定用!$C$7*F$3+職員設定用!$C$8)
+IF(職員設定用!$D$5*$C33*100+職員設定用!$D$7*F$3+職員設定用!$D$8&gt;=職員設定用!$D$10,職員設定用!$D$10,職員設定用!$D$5*$C33*100+職員設定用!$D$7*F$3+職員設定用!$D$8)
+IF(職員設定用!$E$5*$C33*100+職員設定用!$E$7*F$3+職員設定用!$E$8+職員設定用!$E$9*F$3&gt;=職員設定用!$E$10,職員設定用!$E$10,職員設定用!$E$5*$C33*100+職員設定用!$E$7*F$3+職員設定用!$E$8+職員設定用!$E$9*F$3)</f>
        <v>1130000</v>
      </c>
      <c r="G33" s="215">
        <f t="shared" si="0"/>
        <v>94200</v>
      </c>
      <c r="H33" s="207">
        <f>IF(職員設定用!$B$5*$C33*100+職員設定用!$B$7*H$3+職員設定用!$B$8&gt;=職員設定用!$B$10,職員設定用!$B$10,職員設定用!$B$5*$C33*100+職員設定用!$B$7*H$3+職員設定用!$B$8)
+IF(職員設定用!$C$5*$C33*100+職員設定用!$C$7*H$3+職員設定用!$C$8&gt;=職員設定用!$C$10,職員設定用!$C$10,職員設定用!$C$5*$C33*100+職員設定用!$C$7*H$3+職員設定用!$C$8)
+IF(職員設定用!$D$5*$C33*100+職員設定用!$D$7*H$3+職員設定用!$D$8&gt;=職員設定用!$D$10,職員設定用!$D$10,職員設定用!$D$5*$C33*100+職員設定用!$D$7*H$3+職員設定用!$D$8)
+IF(職員設定用!$E$5*$C33*100+職員設定用!$E$7*H$3+職員設定用!$E$8+職員設定用!$E$9*H$3&gt;=職員設定用!$E$10,職員設定用!$E$10,職員設定用!$E$5*$C33*100+職員設定用!$E$7*H$3+職員設定用!$E$8+職員設定用!$E$9*H$3)</f>
        <v>1130000</v>
      </c>
      <c r="I33" s="215">
        <f t="shared" ref="I33" si="217">ROUNDUP(H33/12,-2)</f>
        <v>94200</v>
      </c>
      <c r="J33" s="207">
        <f>IF(職員設定用!$B$5*$C33*100+職員設定用!$B$7*J$3+職員設定用!$B$8&gt;=職員設定用!$B$10,職員設定用!$B$10,職員設定用!$B$5*$C33*100+職員設定用!$B$7*J$3+職員設定用!$B$8)
+IF(職員設定用!$C$5*$C33*100+職員設定用!$C$7*J$3+職員設定用!$C$8&gt;=職員設定用!$C$10,職員設定用!$C$10,職員設定用!$C$5*$C33*100+職員設定用!$C$7*J$3+職員設定用!$C$8)
+IF(職員設定用!$D$5*$C33*100+職員設定用!$D$7*J$3+職員設定用!$D$8&gt;=職員設定用!$D$10,職員設定用!$D$10,職員設定用!$D$5*$C33*100+職員設定用!$D$7*J$3+職員設定用!$D$8)
+IF(職員設定用!$E$5*$C33*100+職員設定用!$E$7*J$3+職員設定用!$E$8+職員設定用!$E$9*J$3&gt;=職員設定用!$E$10,職員設定用!$E$10,職員設定用!$E$5*$C33*100+職員設定用!$E$7*J$3+職員設定用!$E$8+職員設定用!$E$9*J$3)</f>
        <v>1130000</v>
      </c>
      <c r="K33" s="215">
        <f t="shared" ref="K33" si="218">ROUNDUP(J33/12,-2)</f>
        <v>94200</v>
      </c>
      <c r="L33" s="207">
        <f>IF(職員設定用!$B$5*$C33*100+職員設定用!$B$7*L$3+職員設定用!$B$8&gt;=職員設定用!$B$10,職員設定用!$B$10,職員設定用!$B$5*$C33*100+職員設定用!$B$7*L$3+職員設定用!$B$8)
+IF(職員設定用!$C$5*$C33*100+職員設定用!$C$7*L$3+職員設定用!$C$8&gt;=職員設定用!$C$10,職員設定用!$C$10,職員設定用!$C$5*$C33*100+職員設定用!$C$7*L$3+職員設定用!$C$8)
+IF(職員設定用!$D$5*$C33*100+職員設定用!$D$7*L$3+職員設定用!$D$8&gt;=職員設定用!$D$10,職員設定用!$D$10,職員設定用!$D$5*$C33*100+職員設定用!$D$7*L$3+職員設定用!$D$8)
+IF(職員設定用!$E$5*$C33*100+職員設定用!$E$7*L$3+職員設定用!$E$8+職員設定用!$E$9*L$3&gt;=職員設定用!$E$10,職員設定用!$E$10,職員設定用!$E$5*$C33*100+職員設定用!$E$7*L$3+職員設定用!$E$8+職員設定用!$E$9*L$3)</f>
        <v>1130000</v>
      </c>
      <c r="M33" s="215">
        <f t="shared" ref="M33" si="219">ROUNDUP(L33/12,-2)</f>
        <v>94200</v>
      </c>
      <c r="N33" s="207">
        <f>IF(職員設定用!$B$5*$C33*100+職員設定用!$B$7*N$3+職員設定用!$B$8&gt;=職員設定用!$B$10,職員設定用!$B$10,職員設定用!$B$5*$C33*100+職員設定用!$B$7*N$3+職員設定用!$B$8)
+IF(職員設定用!$C$5*$C33*100+職員設定用!$C$7*N$3+職員設定用!$C$8&gt;=職員設定用!$C$10,職員設定用!$C$10,職員設定用!$C$5*$C33*100+職員設定用!$C$7*N$3+職員設定用!$C$8)
+IF(職員設定用!$D$5*$C33*100+職員設定用!$D$7*N$3+職員設定用!$D$8&gt;=職員設定用!$D$10,職員設定用!$D$10,職員設定用!$D$5*$C33*100+職員設定用!$D$7*N$3+職員設定用!$D$8)
+IF(職員設定用!$E$5*$C33*100+職員設定用!$E$7*N$3+職員設定用!$E$8+職員設定用!$E$9*N$3&gt;=職員設定用!$E$10,職員設定用!$E$10,職員設定用!$E$5*$C33*100+職員設定用!$E$7*N$3+職員設定用!$E$8+職員設定用!$E$9*N$3)</f>
        <v>1130000</v>
      </c>
      <c r="O33" s="215">
        <f t="shared" ref="O33" si="220">ROUNDUP(N33/12,-2)</f>
        <v>94200</v>
      </c>
      <c r="P33" s="207">
        <f>IF(職員設定用!$B$5*$C33*100+職員設定用!$B$7*P$3+職員設定用!$B$8&gt;=職員設定用!$B$10,職員設定用!$B$10,職員設定用!$B$5*$C33*100+職員設定用!$B$7*P$3+職員設定用!$B$8)
+IF(職員設定用!$C$5*$C33*100+職員設定用!$C$7*P$3+職員設定用!$C$8&gt;=職員設定用!$C$10,職員設定用!$C$10,職員設定用!$C$5*$C33*100+職員設定用!$C$7*P$3+職員設定用!$C$8)
+IF(職員設定用!$D$5*$C33*100+職員設定用!$D$7*P$3+職員設定用!$D$8&gt;=職員設定用!$D$10,職員設定用!$D$10,職員設定用!$D$5*$C33*100+職員設定用!$D$7*P$3+職員設定用!$D$8)
+IF(職員設定用!$E$5*$C33*100+職員設定用!$E$7*P$3+職員設定用!$E$8+職員設定用!$E$9*P$3&gt;=職員設定用!$E$10,職員設定用!$E$10,職員設定用!$E$5*$C33*100+職員設定用!$E$7*P$3+職員設定用!$E$8+職員設定用!$E$9*P$3)</f>
        <v>1130000</v>
      </c>
      <c r="Q33" s="215">
        <f t="shared" ref="Q33" si="221">ROUNDUP(P33/12,-2)</f>
        <v>94200</v>
      </c>
      <c r="R33" s="207">
        <f>IF(職員設定用!$B$5*$C33*100+職員設定用!$B$7*R$3+職員設定用!$B$8&gt;=職員設定用!$B$10,職員設定用!$B$10,職員設定用!$B$5*$C33*100+職員設定用!$B$7*R$3+職員設定用!$B$8)
+IF(職員設定用!$C$5*$C33*100+職員設定用!$C$7*R$3+職員設定用!$C$8&gt;=職員設定用!$C$10,職員設定用!$C$10,職員設定用!$C$5*$C33*100+職員設定用!$C$7*R$3+職員設定用!$C$8)
+IF(職員設定用!$D$5*$C33*100+職員設定用!$D$7*R$3+職員設定用!$D$8&gt;=職員設定用!$D$10,職員設定用!$D$10,職員設定用!$D$5*$C33*100+職員設定用!$D$7*R$3+職員設定用!$D$8)
+IF(職員設定用!$E$5*$C33*100+職員設定用!$E$7*R$3+職員設定用!$E$8+職員設定用!$E$9*R$3&gt;=職員設定用!$E$10,職員設定用!$E$10,職員設定用!$E$5*$C33*100+職員設定用!$E$7*R$3+職員設定用!$E$8+職員設定用!$E$9*R$3)</f>
        <v>1130000</v>
      </c>
      <c r="S33" s="215">
        <f t="shared" ref="S33" si="222">ROUNDUP(R33/12,-2)</f>
        <v>94200</v>
      </c>
      <c r="T33" s="207">
        <f>IF(職員設定用!$B$5*$C33*100+職員設定用!$B$7*T$3+職員設定用!$B$8&gt;=職員設定用!$B$10,職員設定用!$B$10,職員設定用!$B$5*$C33*100+職員設定用!$B$7*T$3+職員設定用!$B$8)
+IF(職員設定用!$C$5*$C33*100+職員設定用!$C$7*T$3+職員設定用!$C$8&gt;=職員設定用!$C$10,職員設定用!$C$10,職員設定用!$C$5*$C33*100+職員設定用!$C$7*T$3+職員設定用!$C$8)
+IF(職員設定用!$D$5*$C33*100+職員設定用!$D$7*T$3+職員設定用!$D$8&gt;=職員設定用!$D$10,職員設定用!$D$10,職員設定用!$D$5*$C33*100+職員設定用!$D$7*T$3+職員設定用!$D$8)
+IF(職員設定用!$E$5*$C33*100+職員設定用!$E$7*T$3+職員設定用!$E$8+職員設定用!$E$9*T$3&gt;=職員設定用!$E$10,職員設定用!$E$10,職員設定用!$E$5*$C33*100+職員設定用!$E$7*T$3+職員設定用!$E$8+職員設定用!$E$9*T$3)</f>
        <v>1130000</v>
      </c>
      <c r="U33" s="215">
        <f t="shared" ref="U33" si="223">ROUNDUP(T33/12,-2)</f>
        <v>94200</v>
      </c>
      <c r="V33" s="207">
        <f>IF(職員設定用!$B$5*$C33*100+職員設定用!$B$7*V$3+職員設定用!$B$8&gt;=職員設定用!$B$10,職員設定用!$B$10,職員設定用!$B$5*$C33*100+職員設定用!$B$7*V$3+職員設定用!$B$8)
+IF(職員設定用!$C$5*$C33*100+職員設定用!$C$7*V$3+職員設定用!$C$8&gt;=職員設定用!$C$10,職員設定用!$C$10,職員設定用!$C$5*$C33*100+職員設定用!$C$7*V$3+職員設定用!$C$8)
+IF(職員設定用!$D$5*$C33*100+職員設定用!$D$7*V$3+職員設定用!$D$8&gt;=職員設定用!$D$10,職員設定用!$D$10,職員設定用!$D$5*$C33*100+職員設定用!$D$7*V$3+職員設定用!$D$8)
+IF(職員設定用!$E$5*$C33*100+職員設定用!$E$7*V$3+職員設定用!$E$8+職員設定用!$E$9*V$3&gt;=職員設定用!$E$10,職員設定用!$E$10,職員設定用!$E$5*$C33*100+職員設定用!$E$7*V$3+職員設定用!$E$8+職員設定用!$E$9*V$3)</f>
        <v>1130000</v>
      </c>
      <c r="W33" s="215">
        <f t="shared" ref="W33" si="224">ROUNDUP(V33/12,-2)</f>
        <v>94200</v>
      </c>
    </row>
    <row r="34" spans="2:23" ht="22.5" customHeight="1">
      <c r="B34" s="212">
        <v>1450</v>
      </c>
      <c r="C34" s="218">
        <f>IF(B34-職員設定用!$B$19/10000&gt;0,B34-職員設定用!$B$19/10000,0)</f>
        <v>1407</v>
      </c>
      <c r="D34" s="207">
        <f>IF(職員設定用!$B$5*$C34*100+職員設定用!$B$7*D$3+職員設定用!$B$8&gt;=職員設定用!$B$10,職員設定用!$B$10,職員設定用!$B$5*$C34*100+職員設定用!$B$7*D$3+職員設定用!$B$8)
+IF(職員設定用!$C$5*$C34*100+職員設定用!$C$7*D$3+職員設定用!$C$8&gt;=職員設定用!$C$10,職員設定用!$C$10,職員設定用!$C$5*$C34*100+職員設定用!$C$7*D$3+職員設定用!$C$8)
+IF(職員設定用!$D$5*$C34*100+職員設定用!$D$7*D$3+職員設定用!$D$8&gt;=職員設定用!$D$10,職員設定用!$D$10,職員設定用!$D$5*$C34*100+職員設定用!$D$7*D$3+職員設定用!$D$8)
+IF(職員設定用!$E$5*$C34*100+職員設定用!$E$7*D$3+職員設定用!$E$8+職員設定用!$E$9*D$3&gt;=職員設定用!$E$10,職員設定用!$E$10,職員設定用!$E$5*$C34*100+職員設定用!$E$7*D$3+職員設定用!$E$8+職員設定用!$E$9*D$3)</f>
        <v>1130000</v>
      </c>
      <c r="E34" s="215">
        <f t="shared" si="0"/>
        <v>94200</v>
      </c>
      <c r="F34" s="207">
        <f>IF(職員設定用!$B$5*$C34*100+職員設定用!$B$7*F$3+職員設定用!$B$8&gt;=職員設定用!$B$10,職員設定用!$B$10,職員設定用!$B$5*$C34*100+職員設定用!$B$7*F$3+職員設定用!$B$8)
+IF(職員設定用!$C$5*$C34*100+職員設定用!$C$7*F$3+職員設定用!$C$8&gt;=職員設定用!$C$10,職員設定用!$C$10,職員設定用!$C$5*$C34*100+職員設定用!$C$7*F$3+職員設定用!$C$8)
+IF(職員設定用!$D$5*$C34*100+職員設定用!$D$7*F$3+職員設定用!$D$8&gt;=職員設定用!$D$10,職員設定用!$D$10,職員設定用!$D$5*$C34*100+職員設定用!$D$7*F$3+職員設定用!$D$8)
+IF(職員設定用!$E$5*$C34*100+職員設定用!$E$7*F$3+職員設定用!$E$8+職員設定用!$E$9*F$3&gt;=職員設定用!$E$10,職員設定用!$E$10,職員設定用!$E$5*$C34*100+職員設定用!$E$7*F$3+職員設定用!$E$8+職員設定用!$E$9*F$3)</f>
        <v>1130000</v>
      </c>
      <c r="G34" s="215">
        <f t="shared" si="0"/>
        <v>94200</v>
      </c>
      <c r="H34" s="207">
        <f>IF(職員設定用!$B$5*$C34*100+職員設定用!$B$7*H$3+職員設定用!$B$8&gt;=職員設定用!$B$10,職員設定用!$B$10,職員設定用!$B$5*$C34*100+職員設定用!$B$7*H$3+職員設定用!$B$8)
+IF(職員設定用!$C$5*$C34*100+職員設定用!$C$7*H$3+職員設定用!$C$8&gt;=職員設定用!$C$10,職員設定用!$C$10,職員設定用!$C$5*$C34*100+職員設定用!$C$7*H$3+職員設定用!$C$8)
+IF(職員設定用!$D$5*$C34*100+職員設定用!$D$7*H$3+職員設定用!$D$8&gt;=職員設定用!$D$10,職員設定用!$D$10,職員設定用!$D$5*$C34*100+職員設定用!$D$7*H$3+職員設定用!$D$8)
+IF(職員設定用!$E$5*$C34*100+職員設定用!$E$7*H$3+職員設定用!$E$8+職員設定用!$E$9*H$3&gt;=職員設定用!$E$10,職員設定用!$E$10,職員設定用!$E$5*$C34*100+職員設定用!$E$7*H$3+職員設定用!$E$8+職員設定用!$E$9*H$3)</f>
        <v>1130000</v>
      </c>
      <c r="I34" s="215">
        <f t="shared" ref="I34" si="225">ROUNDUP(H34/12,-2)</f>
        <v>94200</v>
      </c>
      <c r="J34" s="207">
        <f>IF(職員設定用!$B$5*$C34*100+職員設定用!$B$7*J$3+職員設定用!$B$8&gt;=職員設定用!$B$10,職員設定用!$B$10,職員設定用!$B$5*$C34*100+職員設定用!$B$7*J$3+職員設定用!$B$8)
+IF(職員設定用!$C$5*$C34*100+職員設定用!$C$7*J$3+職員設定用!$C$8&gt;=職員設定用!$C$10,職員設定用!$C$10,職員設定用!$C$5*$C34*100+職員設定用!$C$7*J$3+職員設定用!$C$8)
+IF(職員設定用!$D$5*$C34*100+職員設定用!$D$7*J$3+職員設定用!$D$8&gt;=職員設定用!$D$10,職員設定用!$D$10,職員設定用!$D$5*$C34*100+職員設定用!$D$7*J$3+職員設定用!$D$8)
+IF(職員設定用!$E$5*$C34*100+職員設定用!$E$7*J$3+職員設定用!$E$8+職員設定用!$E$9*J$3&gt;=職員設定用!$E$10,職員設定用!$E$10,職員設定用!$E$5*$C34*100+職員設定用!$E$7*J$3+職員設定用!$E$8+職員設定用!$E$9*J$3)</f>
        <v>1130000</v>
      </c>
      <c r="K34" s="215">
        <f t="shared" ref="K34" si="226">ROUNDUP(J34/12,-2)</f>
        <v>94200</v>
      </c>
      <c r="L34" s="207">
        <f>IF(職員設定用!$B$5*$C34*100+職員設定用!$B$7*L$3+職員設定用!$B$8&gt;=職員設定用!$B$10,職員設定用!$B$10,職員設定用!$B$5*$C34*100+職員設定用!$B$7*L$3+職員設定用!$B$8)
+IF(職員設定用!$C$5*$C34*100+職員設定用!$C$7*L$3+職員設定用!$C$8&gt;=職員設定用!$C$10,職員設定用!$C$10,職員設定用!$C$5*$C34*100+職員設定用!$C$7*L$3+職員設定用!$C$8)
+IF(職員設定用!$D$5*$C34*100+職員設定用!$D$7*L$3+職員設定用!$D$8&gt;=職員設定用!$D$10,職員設定用!$D$10,職員設定用!$D$5*$C34*100+職員設定用!$D$7*L$3+職員設定用!$D$8)
+IF(職員設定用!$E$5*$C34*100+職員設定用!$E$7*L$3+職員設定用!$E$8+職員設定用!$E$9*L$3&gt;=職員設定用!$E$10,職員設定用!$E$10,職員設定用!$E$5*$C34*100+職員設定用!$E$7*L$3+職員設定用!$E$8+職員設定用!$E$9*L$3)</f>
        <v>1130000</v>
      </c>
      <c r="M34" s="215">
        <f t="shared" ref="M34" si="227">ROUNDUP(L34/12,-2)</f>
        <v>94200</v>
      </c>
      <c r="N34" s="207">
        <f>IF(職員設定用!$B$5*$C34*100+職員設定用!$B$7*N$3+職員設定用!$B$8&gt;=職員設定用!$B$10,職員設定用!$B$10,職員設定用!$B$5*$C34*100+職員設定用!$B$7*N$3+職員設定用!$B$8)
+IF(職員設定用!$C$5*$C34*100+職員設定用!$C$7*N$3+職員設定用!$C$8&gt;=職員設定用!$C$10,職員設定用!$C$10,職員設定用!$C$5*$C34*100+職員設定用!$C$7*N$3+職員設定用!$C$8)
+IF(職員設定用!$D$5*$C34*100+職員設定用!$D$7*N$3+職員設定用!$D$8&gt;=職員設定用!$D$10,職員設定用!$D$10,職員設定用!$D$5*$C34*100+職員設定用!$D$7*N$3+職員設定用!$D$8)
+IF(職員設定用!$E$5*$C34*100+職員設定用!$E$7*N$3+職員設定用!$E$8+職員設定用!$E$9*N$3&gt;=職員設定用!$E$10,職員設定用!$E$10,職員設定用!$E$5*$C34*100+職員設定用!$E$7*N$3+職員設定用!$E$8+職員設定用!$E$9*N$3)</f>
        <v>1130000</v>
      </c>
      <c r="O34" s="215">
        <f t="shared" ref="O34" si="228">ROUNDUP(N34/12,-2)</f>
        <v>94200</v>
      </c>
      <c r="P34" s="207">
        <f>IF(職員設定用!$B$5*$C34*100+職員設定用!$B$7*P$3+職員設定用!$B$8&gt;=職員設定用!$B$10,職員設定用!$B$10,職員設定用!$B$5*$C34*100+職員設定用!$B$7*P$3+職員設定用!$B$8)
+IF(職員設定用!$C$5*$C34*100+職員設定用!$C$7*P$3+職員設定用!$C$8&gt;=職員設定用!$C$10,職員設定用!$C$10,職員設定用!$C$5*$C34*100+職員設定用!$C$7*P$3+職員設定用!$C$8)
+IF(職員設定用!$D$5*$C34*100+職員設定用!$D$7*P$3+職員設定用!$D$8&gt;=職員設定用!$D$10,職員設定用!$D$10,職員設定用!$D$5*$C34*100+職員設定用!$D$7*P$3+職員設定用!$D$8)
+IF(職員設定用!$E$5*$C34*100+職員設定用!$E$7*P$3+職員設定用!$E$8+職員設定用!$E$9*P$3&gt;=職員設定用!$E$10,職員設定用!$E$10,職員設定用!$E$5*$C34*100+職員設定用!$E$7*P$3+職員設定用!$E$8+職員設定用!$E$9*P$3)</f>
        <v>1130000</v>
      </c>
      <c r="Q34" s="215">
        <f t="shared" ref="Q34" si="229">ROUNDUP(P34/12,-2)</f>
        <v>94200</v>
      </c>
      <c r="R34" s="207">
        <f>IF(職員設定用!$B$5*$C34*100+職員設定用!$B$7*R$3+職員設定用!$B$8&gt;=職員設定用!$B$10,職員設定用!$B$10,職員設定用!$B$5*$C34*100+職員設定用!$B$7*R$3+職員設定用!$B$8)
+IF(職員設定用!$C$5*$C34*100+職員設定用!$C$7*R$3+職員設定用!$C$8&gt;=職員設定用!$C$10,職員設定用!$C$10,職員設定用!$C$5*$C34*100+職員設定用!$C$7*R$3+職員設定用!$C$8)
+IF(職員設定用!$D$5*$C34*100+職員設定用!$D$7*R$3+職員設定用!$D$8&gt;=職員設定用!$D$10,職員設定用!$D$10,職員設定用!$D$5*$C34*100+職員設定用!$D$7*R$3+職員設定用!$D$8)
+IF(職員設定用!$E$5*$C34*100+職員設定用!$E$7*R$3+職員設定用!$E$8+職員設定用!$E$9*R$3&gt;=職員設定用!$E$10,職員設定用!$E$10,職員設定用!$E$5*$C34*100+職員設定用!$E$7*R$3+職員設定用!$E$8+職員設定用!$E$9*R$3)</f>
        <v>1130000</v>
      </c>
      <c r="S34" s="215">
        <f t="shared" ref="S34" si="230">ROUNDUP(R34/12,-2)</f>
        <v>94200</v>
      </c>
      <c r="T34" s="207">
        <f>IF(職員設定用!$B$5*$C34*100+職員設定用!$B$7*T$3+職員設定用!$B$8&gt;=職員設定用!$B$10,職員設定用!$B$10,職員設定用!$B$5*$C34*100+職員設定用!$B$7*T$3+職員設定用!$B$8)
+IF(職員設定用!$C$5*$C34*100+職員設定用!$C$7*T$3+職員設定用!$C$8&gt;=職員設定用!$C$10,職員設定用!$C$10,職員設定用!$C$5*$C34*100+職員設定用!$C$7*T$3+職員設定用!$C$8)
+IF(職員設定用!$D$5*$C34*100+職員設定用!$D$7*T$3+職員設定用!$D$8&gt;=職員設定用!$D$10,職員設定用!$D$10,職員設定用!$D$5*$C34*100+職員設定用!$D$7*T$3+職員設定用!$D$8)
+IF(職員設定用!$E$5*$C34*100+職員設定用!$E$7*T$3+職員設定用!$E$8+職員設定用!$E$9*T$3&gt;=職員設定用!$E$10,職員設定用!$E$10,職員設定用!$E$5*$C34*100+職員設定用!$E$7*T$3+職員設定用!$E$8+職員設定用!$E$9*T$3)</f>
        <v>1130000</v>
      </c>
      <c r="U34" s="215">
        <f t="shared" ref="U34" si="231">ROUNDUP(T34/12,-2)</f>
        <v>94200</v>
      </c>
      <c r="V34" s="207">
        <f>IF(職員設定用!$B$5*$C34*100+職員設定用!$B$7*V$3+職員設定用!$B$8&gt;=職員設定用!$B$10,職員設定用!$B$10,職員設定用!$B$5*$C34*100+職員設定用!$B$7*V$3+職員設定用!$B$8)
+IF(職員設定用!$C$5*$C34*100+職員設定用!$C$7*V$3+職員設定用!$C$8&gt;=職員設定用!$C$10,職員設定用!$C$10,職員設定用!$C$5*$C34*100+職員設定用!$C$7*V$3+職員設定用!$C$8)
+IF(職員設定用!$D$5*$C34*100+職員設定用!$D$7*V$3+職員設定用!$D$8&gt;=職員設定用!$D$10,職員設定用!$D$10,職員設定用!$D$5*$C34*100+職員設定用!$D$7*V$3+職員設定用!$D$8)
+IF(職員設定用!$E$5*$C34*100+職員設定用!$E$7*V$3+職員設定用!$E$8+職員設定用!$E$9*V$3&gt;=職員設定用!$E$10,職員設定用!$E$10,職員設定用!$E$5*$C34*100+職員設定用!$E$7*V$3+職員設定用!$E$8+職員設定用!$E$9*V$3)</f>
        <v>1130000</v>
      </c>
      <c r="W34" s="215">
        <f t="shared" ref="W34" si="232">ROUNDUP(V34/12,-2)</f>
        <v>94200</v>
      </c>
    </row>
    <row r="35" spans="2:23" ht="22.5" customHeight="1">
      <c r="B35" s="212">
        <v>1500</v>
      </c>
      <c r="C35" s="218">
        <f>IF(B35-職員設定用!$B$19/10000&gt;0,B35-職員設定用!$B$19/10000,0)</f>
        <v>1457</v>
      </c>
      <c r="D35" s="207">
        <f>IF(職員設定用!$B$5*$C35*100+職員設定用!$B$7*D$3+職員設定用!$B$8&gt;=職員設定用!$B$10,職員設定用!$B$10,職員設定用!$B$5*$C35*100+職員設定用!$B$7*D$3+職員設定用!$B$8)
+IF(職員設定用!$C$5*$C35*100+職員設定用!$C$7*D$3+職員設定用!$C$8&gt;=職員設定用!$C$10,職員設定用!$C$10,職員設定用!$C$5*$C35*100+職員設定用!$C$7*D$3+職員設定用!$C$8)
+IF(職員設定用!$D$5*$C35*100+職員設定用!$D$7*D$3+職員設定用!$D$8&gt;=職員設定用!$D$10,職員設定用!$D$10,職員設定用!$D$5*$C35*100+職員設定用!$D$7*D$3+職員設定用!$D$8)
+IF(職員設定用!$E$5*$C35*100+職員設定用!$E$7*D$3+職員設定用!$E$8+職員設定用!$E$9*D$3&gt;=職員設定用!$E$10,職員設定用!$E$10,職員設定用!$E$5*$C35*100+職員設定用!$E$7*D$3+職員設定用!$E$8+職員設定用!$E$9*D$3)</f>
        <v>1130000</v>
      </c>
      <c r="E35" s="215">
        <f t="shared" si="0"/>
        <v>94200</v>
      </c>
      <c r="F35" s="207">
        <f>IF(職員設定用!$B$5*$C35*100+職員設定用!$B$7*F$3+職員設定用!$B$8&gt;=職員設定用!$B$10,職員設定用!$B$10,職員設定用!$B$5*$C35*100+職員設定用!$B$7*F$3+職員設定用!$B$8)
+IF(職員設定用!$C$5*$C35*100+職員設定用!$C$7*F$3+職員設定用!$C$8&gt;=職員設定用!$C$10,職員設定用!$C$10,職員設定用!$C$5*$C35*100+職員設定用!$C$7*F$3+職員設定用!$C$8)
+IF(職員設定用!$D$5*$C35*100+職員設定用!$D$7*F$3+職員設定用!$D$8&gt;=職員設定用!$D$10,職員設定用!$D$10,職員設定用!$D$5*$C35*100+職員設定用!$D$7*F$3+職員設定用!$D$8)
+IF(職員設定用!$E$5*$C35*100+職員設定用!$E$7*F$3+職員設定用!$E$8+職員設定用!$E$9*F$3&gt;=職員設定用!$E$10,職員設定用!$E$10,職員設定用!$E$5*$C35*100+職員設定用!$E$7*F$3+職員設定用!$E$8+職員設定用!$E$9*F$3)</f>
        <v>1130000</v>
      </c>
      <c r="G35" s="215">
        <f t="shared" si="0"/>
        <v>94200</v>
      </c>
      <c r="H35" s="207">
        <f>IF(職員設定用!$B$5*$C35*100+職員設定用!$B$7*H$3+職員設定用!$B$8&gt;=職員設定用!$B$10,職員設定用!$B$10,職員設定用!$B$5*$C35*100+職員設定用!$B$7*H$3+職員設定用!$B$8)
+IF(職員設定用!$C$5*$C35*100+職員設定用!$C$7*H$3+職員設定用!$C$8&gt;=職員設定用!$C$10,職員設定用!$C$10,職員設定用!$C$5*$C35*100+職員設定用!$C$7*H$3+職員設定用!$C$8)
+IF(職員設定用!$D$5*$C35*100+職員設定用!$D$7*H$3+職員設定用!$D$8&gt;=職員設定用!$D$10,職員設定用!$D$10,職員設定用!$D$5*$C35*100+職員設定用!$D$7*H$3+職員設定用!$D$8)
+IF(職員設定用!$E$5*$C35*100+職員設定用!$E$7*H$3+職員設定用!$E$8+職員設定用!$E$9*H$3&gt;=職員設定用!$E$10,職員設定用!$E$10,職員設定用!$E$5*$C35*100+職員設定用!$E$7*H$3+職員設定用!$E$8+職員設定用!$E$9*H$3)</f>
        <v>1130000</v>
      </c>
      <c r="I35" s="215">
        <f t="shared" ref="I35" si="233">ROUNDUP(H35/12,-2)</f>
        <v>94200</v>
      </c>
      <c r="J35" s="207">
        <f>IF(職員設定用!$B$5*$C35*100+職員設定用!$B$7*J$3+職員設定用!$B$8&gt;=職員設定用!$B$10,職員設定用!$B$10,職員設定用!$B$5*$C35*100+職員設定用!$B$7*J$3+職員設定用!$B$8)
+IF(職員設定用!$C$5*$C35*100+職員設定用!$C$7*J$3+職員設定用!$C$8&gt;=職員設定用!$C$10,職員設定用!$C$10,職員設定用!$C$5*$C35*100+職員設定用!$C$7*J$3+職員設定用!$C$8)
+IF(職員設定用!$D$5*$C35*100+職員設定用!$D$7*J$3+職員設定用!$D$8&gt;=職員設定用!$D$10,職員設定用!$D$10,職員設定用!$D$5*$C35*100+職員設定用!$D$7*J$3+職員設定用!$D$8)
+IF(職員設定用!$E$5*$C35*100+職員設定用!$E$7*J$3+職員設定用!$E$8+職員設定用!$E$9*J$3&gt;=職員設定用!$E$10,職員設定用!$E$10,職員設定用!$E$5*$C35*100+職員設定用!$E$7*J$3+職員設定用!$E$8+職員設定用!$E$9*J$3)</f>
        <v>1130000</v>
      </c>
      <c r="K35" s="215">
        <f t="shared" ref="K35" si="234">ROUNDUP(J35/12,-2)</f>
        <v>94200</v>
      </c>
      <c r="L35" s="207">
        <f>IF(職員設定用!$B$5*$C35*100+職員設定用!$B$7*L$3+職員設定用!$B$8&gt;=職員設定用!$B$10,職員設定用!$B$10,職員設定用!$B$5*$C35*100+職員設定用!$B$7*L$3+職員設定用!$B$8)
+IF(職員設定用!$C$5*$C35*100+職員設定用!$C$7*L$3+職員設定用!$C$8&gt;=職員設定用!$C$10,職員設定用!$C$10,職員設定用!$C$5*$C35*100+職員設定用!$C$7*L$3+職員設定用!$C$8)
+IF(職員設定用!$D$5*$C35*100+職員設定用!$D$7*L$3+職員設定用!$D$8&gt;=職員設定用!$D$10,職員設定用!$D$10,職員設定用!$D$5*$C35*100+職員設定用!$D$7*L$3+職員設定用!$D$8)
+IF(職員設定用!$E$5*$C35*100+職員設定用!$E$7*L$3+職員設定用!$E$8+職員設定用!$E$9*L$3&gt;=職員設定用!$E$10,職員設定用!$E$10,職員設定用!$E$5*$C35*100+職員設定用!$E$7*L$3+職員設定用!$E$8+職員設定用!$E$9*L$3)</f>
        <v>1130000</v>
      </c>
      <c r="M35" s="215">
        <f t="shared" ref="M35" si="235">ROUNDUP(L35/12,-2)</f>
        <v>94200</v>
      </c>
      <c r="N35" s="207">
        <f>IF(職員設定用!$B$5*$C35*100+職員設定用!$B$7*N$3+職員設定用!$B$8&gt;=職員設定用!$B$10,職員設定用!$B$10,職員設定用!$B$5*$C35*100+職員設定用!$B$7*N$3+職員設定用!$B$8)
+IF(職員設定用!$C$5*$C35*100+職員設定用!$C$7*N$3+職員設定用!$C$8&gt;=職員設定用!$C$10,職員設定用!$C$10,職員設定用!$C$5*$C35*100+職員設定用!$C$7*N$3+職員設定用!$C$8)
+IF(職員設定用!$D$5*$C35*100+職員設定用!$D$7*N$3+職員設定用!$D$8&gt;=職員設定用!$D$10,職員設定用!$D$10,職員設定用!$D$5*$C35*100+職員設定用!$D$7*N$3+職員設定用!$D$8)
+IF(職員設定用!$E$5*$C35*100+職員設定用!$E$7*N$3+職員設定用!$E$8+職員設定用!$E$9*N$3&gt;=職員設定用!$E$10,職員設定用!$E$10,職員設定用!$E$5*$C35*100+職員設定用!$E$7*N$3+職員設定用!$E$8+職員設定用!$E$9*N$3)</f>
        <v>1130000</v>
      </c>
      <c r="O35" s="215">
        <f t="shared" ref="O35" si="236">ROUNDUP(N35/12,-2)</f>
        <v>94200</v>
      </c>
      <c r="P35" s="207">
        <f>IF(職員設定用!$B$5*$C35*100+職員設定用!$B$7*P$3+職員設定用!$B$8&gt;=職員設定用!$B$10,職員設定用!$B$10,職員設定用!$B$5*$C35*100+職員設定用!$B$7*P$3+職員設定用!$B$8)
+IF(職員設定用!$C$5*$C35*100+職員設定用!$C$7*P$3+職員設定用!$C$8&gt;=職員設定用!$C$10,職員設定用!$C$10,職員設定用!$C$5*$C35*100+職員設定用!$C$7*P$3+職員設定用!$C$8)
+IF(職員設定用!$D$5*$C35*100+職員設定用!$D$7*P$3+職員設定用!$D$8&gt;=職員設定用!$D$10,職員設定用!$D$10,職員設定用!$D$5*$C35*100+職員設定用!$D$7*P$3+職員設定用!$D$8)
+IF(職員設定用!$E$5*$C35*100+職員設定用!$E$7*P$3+職員設定用!$E$8+職員設定用!$E$9*P$3&gt;=職員設定用!$E$10,職員設定用!$E$10,職員設定用!$E$5*$C35*100+職員設定用!$E$7*P$3+職員設定用!$E$8+職員設定用!$E$9*P$3)</f>
        <v>1130000</v>
      </c>
      <c r="Q35" s="215">
        <f t="shared" ref="Q35" si="237">ROUNDUP(P35/12,-2)</f>
        <v>94200</v>
      </c>
      <c r="R35" s="207">
        <f>IF(職員設定用!$B$5*$C35*100+職員設定用!$B$7*R$3+職員設定用!$B$8&gt;=職員設定用!$B$10,職員設定用!$B$10,職員設定用!$B$5*$C35*100+職員設定用!$B$7*R$3+職員設定用!$B$8)
+IF(職員設定用!$C$5*$C35*100+職員設定用!$C$7*R$3+職員設定用!$C$8&gt;=職員設定用!$C$10,職員設定用!$C$10,職員設定用!$C$5*$C35*100+職員設定用!$C$7*R$3+職員設定用!$C$8)
+IF(職員設定用!$D$5*$C35*100+職員設定用!$D$7*R$3+職員設定用!$D$8&gt;=職員設定用!$D$10,職員設定用!$D$10,職員設定用!$D$5*$C35*100+職員設定用!$D$7*R$3+職員設定用!$D$8)
+IF(職員設定用!$E$5*$C35*100+職員設定用!$E$7*R$3+職員設定用!$E$8+職員設定用!$E$9*R$3&gt;=職員設定用!$E$10,職員設定用!$E$10,職員設定用!$E$5*$C35*100+職員設定用!$E$7*R$3+職員設定用!$E$8+職員設定用!$E$9*R$3)</f>
        <v>1130000</v>
      </c>
      <c r="S35" s="215">
        <f t="shared" ref="S35" si="238">ROUNDUP(R35/12,-2)</f>
        <v>94200</v>
      </c>
      <c r="T35" s="207">
        <f>IF(職員設定用!$B$5*$C35*100+職員設定用!$B$7*T$3+職員設定用!$B$8&gt;=職員設定用!$B$10,職員設定用!$B$10,職員設定用!$B$5*$C35*100+職員設定用!$B$7*T$3+職員設定用!$B$8)
+IF(職員設定用!$C$5*$C35*100+職員設定用!$C$7*T$3+職員設定用!$C$8&gt;=職員設定用!$C$10,職員設定用!$C$10,職員設定用!$C$5*$C35*100+職員設定用!$C$7*T$3+職員設定用!$C$8)
+IF(職員設定用!$D$5*$C35*100+職員設定用!$D$7*T$3+職員設定用!$D$8&gt;=職員設定用!$D$10,職員設定用!$D$10,職員設定用!$D$5*$C35*100+職員設定用!$D$7*T$3+職員設定用!$D$8)
+IF(職員設定用!$E$5*$C35*100+職員設定用!$E$7*T$3+職員設定用!$E$8+職員設定用!$E$9*T$3&gt;=職員設定用!$E$10,職員設定用!$E$10,職員設定用!$E$5*$C35*100+職員設定用!$E$7*T$3+職員設定用!$E$8+職員設定用!$E$9*T$3)</f>
        <v>1130000</v>
      </c>
      <c r="U35" s="215">
        <f t="shared" ref="U35" si="239">ROUNDUP(T35/12,-2)</f>
        <v>94200</v>
      </c>
      <c r="V35" s="207">
        <f>IF(職員設定用!$B$5*$C35*100+職員設定用!$B$7*V$3+職員設定用!$B$8&gt;=職員設定用!$B$10,職員設定用!$B$10,職員設定用!$B$5*$C35*100+職員設定用!$B$7*V$3+職員設定用!$B$8)
+IF(職員設定用!$C$5*$C35*100+職員設定用!$C$7*V$3+職員設定用!$C$8&gt;=職員設定用!$C$10,職員設定用!$C$10,職員設定用!$C$5*$C35*100+職員設定用!$C$7*V$3+職員設定用!$C$8)
+IF(職員設定用!$D$5*$C35*100+職員設定用!$D$7*V$3+職員設定用!$D$8&gt;=職員設定用!$D$10,職員設定用!$D$10,職員設定用!$D$5*$C35*100+職員設定用!$D$7*V$3+職員設定用!$D$8)
+IF(職員設定用!$E$5*$C35*100+職員設定用!$E$7*V$3+職員設定用!$E$8+職員設定用!$E$9*V$3&gt;=職員設定用!$E$10,職員設定用!$E$10,職員設定用!$E$5*$C35*100+職員設定用!$E$7*V$3+職員設定用!$E$8+職員設定用!$E$9*V$3)</f>
        <v>1130000</v>
      </c>
      <c r="W35" s="215">
        <f t="shared" ref="W35" si="240">ROUNDUP(V35/12,-2)</f>
        <v>94200</v>
      </c>
    </row>
    <row r="36" spans="2:23" ht="22.5" customHeight="1">
      <c r="B36" s="212">
        <v>1550</v>
      </c>
      <c r="C36" s="218">
        <f>IF(B36-職員設定用!$B$19/10000&gt;0,B36-職員設定用!$B$19/10000,0)</f>
        <v>1507</v>
      </c>
      <c r="D36" s="207">
        <f>IF(職員設定用!$B$5*$C36*100+職員設定用!$B$7*D$3+職員設定用!$B$8&gt;=職員設定用!$B$10,職員設定用!$B$10,職員設定用!$B$5*$C36*100+職員設定用!$B$7*D$3+職員設定用!$B$8)
+IF(職員設定用!$C$5*$C36*100+職員設定用!$C$7*D$3+職員設定用!$C$8&gt;=職員設定用!$C$10,職員設定用!$C$10,職員設定用!$C$5*$C36*100+職員設定用!$C$7*D$3+職員設定用!$C$8)
+IF(職員設定用!$D$5*$C36*100+職員設定用!$D$7*D$3+職員設定用!$D$8&gt;=職員設定用!$D$10,職員設定用!$D$10,職員設定用!$D$5*$C36*100+職員設定用!$D$7*D$3+職員設定用!$D$8)
+IF(職員設定用!$E$5*$C36*100+職員設定用!$E$7*D$3+職員設定用!$E$8+職員設定用!$E$9*D$3&gt;=職員設定用!$E$10,職員設定用!$E$10,職員設定用!$E$5*$C36*100+職員設定用!$E$7*D$3+職員設定用!$E$8+職員設定用!$E$9*D$3)</f>
        <v>1130000</v>
      </c>
      <c r="E36" s="215">
        <f t="shared" si="0"/>
        <v>94200</v>
      </c>
      <c r="F36" s="207">
        <f>IF(職員設定用!$B$5*$C36*100+職員設定用!$B$7*F$3+職員設定用!$B$8&gt;=職員設定用!$B$10,職員設定用!$B$10,職員設定用!$B$5*$C36*100+職員設定用!$B$7*F$3+職員設定用!$B$8)
+IF(職員設定用!$C$5*$C36*100+職員設定用!$C$7*F$3+職員設定用!$C$8&gt;=職員設定用!$C$10,職員設定用!$C$10,職員設定用!$C$5*$C36*100+職員設定用!$C$7*F$3+職員設定用!$C$8)
+IF(職員設定用!$D$5*$C36*100+職員設定用!$D$7*F$3+職員設定用!$D$8&gt;=職員設定用!$D$10,職員設定用!$D$10,職員設定用!$D$5*$C36*100+職員設定用!$D$7*F$3+職員設定用!$D$8)
+IF(職員設定用!$E$5*$C36*100+職員設定用!$E$7*F$3+職員設定用!$E$8+職員設定用!$E$9*F$3&gt;=職員設定用!$E$10,職員設定用!$E$10,職員設定用!$E$5*$C36*100+職員設定用!$E$7*F$3+職員設定用!$E$8+職員設定用!$E$9*F$3)</f>
        <v>1130000</v>
      </c>
      <c r="G36" s="215">
        <f t="shared" si="0"/>
        <v>94200</v>
      </c>
      <c r="H36" s="207">
        <f>IF(職員設定用!$B$5*$C36*100+職員設定用!$B$7*H$3+職員設定用!$B$8&gt;=職員設定用!$B$10,職員設定用!$B$10,職員設定用!$B$5*$C36*100+職員設定用!$B$7*H$3+職員設定用!$B$8)
+IF(職員設定用!$C$5*$C36*100+職員設定用!$C$7*H$3+職員設定用!$C$8&gt;=職員設定用!$C$10,職員設定用!$C$10,職員設定用!$C$5*$C36*100+職員設定用!$C$7*H$3+職員設定用!$C$8)
+IF(職員設定用!$D$5*$C36*100+職員設定用!$D$7*H$3+職員設定用!$D$8&gt;=職員設定用!$D$10,職員設定用!$D$10,職員設定用!$D$5*$C36*100+職員設定用!$D$7*H$3+職員設定用!$D$8)
+IF(職員設定用!$E$5*$C36*100+職員設定用!$E$7*H$3+職員設定用!$E$8+職員設定用!$E$9*H$3&gt;=職員設定用!$E$10,職員設定用!$E$10,職員設定用!$E$5*$C36*100+職員設定用!$E$7*H$3+職員設定用!$E$8+職員設定用!$E$9*H$3)</f>
        <v>1130000</v>
      </c>
      <c r="I36" s="215">
        <f t="shared" ref="I36" si="241">ROUNDUP(H36/12,-2)</f>
        <v>94200</v>
      </c>
      <c r="J36" s="207">
        <f>IF(職員設定用!$B$5*$C36*100+職員設定用!$B$7*J$3+職員設定用!$B$8&gt;=職員設定用!$B$10,職員設定用!$B$10,職員設定用!$B$5*$C36*100+職員設定用!$B$7*J$3+職員設定用!$B$8)
+IF(職員設定用!$C$5*$C36*100+職員設定用!$C$7*J$3+職員設定用!$C$8&gt;=職員設定用!$C$10,職員設定用!$C$10,職員設定用!$C$5*$C36*100+職員設定用!$C$7*J$3+職員設定用!$C$8)
+IF(職員設定用!$D$5*$C36*100+職員設定用!$D$7*J$3+職員設定用!$D$8&gt;=職員設定用!$D$10,職員設定用!$D$10,職員設定用!$D$5*$C36*100+職員設定用!$D$7*J$3+職員設定用!$D$8)
+IF(職員設定用!$E$5*$C36*100+職員設定用!$E$7*J$3+職員設定用!$E$8+職員設定用!$E$9*J$3&gt;=職員設定用!$E$10,職員設定用!$E$10,職員設定用!$E$5*$C36*100+職員設定用!$E$7*J$3+職員設定用!$E$8+職員設定用!$E$9*J$3)</f>
        <v>1130000</v>
      </c>
      <c r="K36" s="215">
        <f t="shared" ref="K36" si="242">ROUNDUP(J36/12,-2)</f>
        <v>94200</v>
      </c>
      <c r="L36" s="207">
        <f>IF(職員設定用!$B$5*$C36*100+職員設定用!$B$7*L$3+職員設定用!$B$8&gt;=職員設定用!$B$10,職員設定用!$B$10,職員設定用!$B$5*$C36*100+職員設定用!$B$7*L$3+職員設定用!$B$8)
+IF(職員設定用!$C$5*$C36*100+職員設定用!$C$7*L$3+職員設定用!$C$8&gt;=職員設定用!$C$10,職員設定用!$C$10,職員設定用!$C$5*$C36*100+職員設定用!$C$7*L$3+職員設定用!$C$8)
+IF(職員設定用!$D$5*$C36*100+職員設定用!$D$7*L$3+職員設定用!$D$8&gt;=職員設定用!$D$10,職員設定用!$D$10,職員設定用!$D$5*$C36*100+職員設定用!$D$7*L$3+職員設定用!$D$8)
+IF(職員設定用!$E$5*$C36*100+職員設定用!$E$7*L$3+職員設定用!$E$8+職員設定用!$E$9*L$3&gt;=職員設定用!$E$10,職員設定用!$E$10,職員設定用!$E$5*$C36*100+職員設定用!$E$7*L$3+職員設定用!$E$8+職員設定用!$E$9*L$3)</f>
        <v>1130000</v>
      </c>
      <c r="M36" s="215">
        <f t="shared" ref="M36" si="243">ROUNDUP(L36/12,-2)</f>
        <v>94200</v>
      </c>
      <c r="N36" s="207">
        <f>IF(職員設定用!$B$5*$C36*100+職員設定用!$B$7*N$3+職員設定用!$B$8&gt;=職員設定用!$B$10,職員設定用!$B$10,職員設定用!$B$5*$C36*100+職員設定用!$B$7*N$3+職員設定用!$B$8)
+IF(職員設定用!$C$5*$C36*100+職員設定用!$C$7*N$3+職員設定用!$C$8&gt;=職員設定用!$C$10,職員設定用!$C$10,職員設定用!$C$5*$C36*100+職員設定用!$C$7*N$3+職員設定用!$C$8)
+IF(職員設定用!$D$5*$C36*100+職員設定用!$D$7*N$3+職員設定用!$D$8&gt;=職員設定用!$D$10,職員設定用!$D$10,職員設定用!$D$5*$C36*100+職員設定用!$D$7*N$3+職員設定用!$D$8)
+IF(職員設定用!$E$5*$C36*100+職員設定用!$E$7*N$3+職員設定用!$E$8+職員設定用!$E$9*N$3&gt;=職員設定用!$E$10,職員設定用!$E$10,職員設定用!$E$5*$C36*100+職員設定用!$E$7*N$3+職員設定用!$E$8+職員設定用!$E$9*N$3)</f>
        <v>1130000</v>
      </c>
      <c r="O36" s="215">
        <f t="shared" ref="O36" si="244">ROUNDUP(N36/12,-2)</f>
        <v>94200</v>
      </c>
      <c r="P36" s="207">
        <f>IF(職員設定用!$B$5*$C36*100+職員設定用!$B$7*P$3+職員設定用!$B$8&gt;=職員設定用!$B$10,職員設定用!$B$10,職員設定用!$B$5*$C36*100+職員設定用!$B$7*P$3+職員設定用!$B$8)
+IF(職員設定用!$C$5*$C36*100+職員設定用!$C$7*P$3+職員設定用!$C$8&gt;=職員設定用!$C$10,職員設定用!$C$10,職員設定用!$C$5*$C36*100+職員設定用!$C$7*P$3+職員設定用!$C$8)
+IF(職員設定用!$D$5*$C36*100+職員設定用!$D$7*P$3+職員設定用!$D$8&gt;=職員設定用!$D$10,職員設定用!$D$10,職員設定用!$D$5*$C36*100+職員設定用!$D$7*P$3+職員設定用!$D$8)
+IF(職員設定用!$E$5*$C36*100+職員設定用!$E$7*P$3+職員設定用!$E$8+職員設定用!$E$9*P$3&gt;=職員設定用!$E$10,職員設定用!$E$10,職員設定用!$E$5*$C36*100+職員設定用!$E$7*P$3+職員設定用!$E$8+職員設定用!$E$9*P$3)</f>
        <v>1130000</v>
      </c>
      <c r="Q36" s="215">
        <f t="shared" ref="Q36" si="245">ROUNDUP(P36/12,-2)</f>
        <v>94200</v>
      </c>
      <c r="R36" s="207">
        <f>IF(職員設定用!$B$5*$C36*100+職員設定用!$B$7*R$3+職員設定用!$B$8&gt;=職員設定用!$B$10,職員設定用!$B$10,職員設定用!$B$5*$C36*100+職員設定用!$B$7*R$3+職員設定用!$B$8)
+IF(職員設定用!$C$5*$C36*100+職員設定用!$C$7*R$3+職員設定用!$C$8&gt;=職員設定用!$C$10,職員設定用!$C$10,職員設定用!$C$5*$C36*100+職員設定用!$C$7*R$3+職員設定用!$C$8)
+IF(職員設定用!$D$5*$C36*100+職員設定用!$D$7*R$3+職員設定用!$D$8&gt;=職員設定用!$D$10,職員設定用!$D$10,職員設定用!$D$5*$C36*100+職員設定用!$D$7*R$3+職員設定用!$D$8)
+IF(職員設定用!$E$5*$C36*100+職員設定用!$E$7*R$3+職員設定用!$E$8+職員設定用!$E$9*R$3&gt;=職員設定用!$E$10,職員設定用!$E$10,職員設定用!$E$5*$C36*100+職員設定用!$E$7*R$3+職員設定用!$E$8+職員設定用!$E$9*R$3)</f>
        <v>1130000</v>
      </c>
      <c r="S36" s="215">
        <f t="shared" ref="S36" si="246">ROUNDUP(R36/12,-2)</f>
        <v>94200</v>
      </c>
      <c r="T36" s="207">
        <f>IF(職員設定用!$B$5*$C36*100+職員設定用!$B$7*T$3+職員設定用!$B$8&gt;=職員設定用!$B$10,職員設定用!$B$10,職員設定用!$B$5*$C36*100+職員設定用!$B$7*T$3+職員設定用!$B$8)
+IF(職員設定用!$C$5*$C36*100+職員設定用!$C$7*T$3+職員設定用!$C$8&gt;=職員設定用!$C$10,職員設定用!$C$10,職員設定用!$C$5*$C36*100+職員設定用!$C$7*T$3+職員設定用!$C$8)
+IF(職員設定用!$D$5*$C36*100+職員設定用!$D$7*T$3+職員設定用!$D$8&gt;=職員設定用!$D$10,職員設定用!$D$10,職員設定用!$D$5*$C36*100+職員設定用!$D$7*T$3+職員設定用!$D$8)
+IF(職員設定用!$E$5*$C36*100+職員設定用!$E$7*T$3+職員設定用!$E$8+職員設定用!$E$9*T$3&gt;=職員設定用!$E$10,職員設定用!$E$10,職員設定用!$E$5*$C36*100+職員設定用!$E$7*T$3+職員設定用!$E$8+職員設定用!$E$9*T$3)</f>
        <v>1130000</v>
      </c>
      <c r="U36" s="215">
        <f t="shared" ref="U36" si="247">ROUNDUP(T36/12,-2)</f>
        <v>94200</v>
      </c>
      <c r="V36" s="207">
        <f>IF(職員設定用!$B$5*$C36*100+職員設定用!$B$7*V$3+職員設定用!$B$8&gt;=職員設定用!$B$10,職員設定用!$B$10,職員設定用!$B$5*$C36*100+職員設定用!$B$7*V$3+職員設定用!$B$8)
+IF(職員設定用!$C$5*$C36*100+職員設定用!$C$7*V$3+職員設定用!$C$8&gt;=職員設定用!$C$10,職員設定用!$C$10,職員設定用!$C$5*$C36*100+職員設定用!$C$7*V$3+職員設定用!$C$8)
+IF(職員設定用!$D$5*$C36*100+職員設定用!$D$7*V$3+職員設定用!$D$8&gt;=職員設定用!$D$10,職員設定用!$D$10,職員設定用!$D$5*$C36*100+職員設定用!$D$7*V$3+職員設定用!$D$8)
+IF(職員設定用!$E$5*$C36*100+職員設定用!$E$7*V$3+職員設定用!$E$8+職員設定用!$E$9*V$3&gt;=職員設定用!$E$10,職員設定用!$E$10,職員設定用!$E$5*$C36*100+職員設定用!$E$7*V$3+職員設定用!$E$8+職員設定用!$E$9*V$3)</f>
        <v>1130000</v>
      </c>
      <c r="W36" s="215">
        <f t="shared" ref="W36" si="248">ROUNDUP(V36/12,-2)</f>
        <v>94200</v>
      </c>
    </row>
    <row r="37" spans="2:23" ht="22.5" customHeight="1">
      <c r="B37" s="212">
        <v>1600</v>
      </c>
      <c r="C37" s="218">
        <f>IF(B37-職員設定用!$B$19/10000&gt;0,B37-職員設定用!$B$19/10000,0)</f>
        <v>1557</v>
      </c>
      <c r="D37" s="207">
        <f>IF(職員設定用!$B$5*$C37*100+職員設定用!$B$7*D$3+職員設定用!$B$8&gt;=職員設定用!$B$10,職員設定用!$B$10,職員設定用!$B$5*$C37*100+職員設定用!$B$7*D$3+職員設定用!$B$8)
+IF(職員設定用!$C$5*$C37*100+職員設定用!$C$7*D$3+職員設定用!$C$8&gt;=職員設定用!$C$10,職員設定用!$C$10,職員設定用!$C$5*$C37*100+職員設定用!$C$7*D$3+職員設定用!$C$8)
+IF(職員設定用!$D$5*$C37*100+職員設定用!$D$7*D$3+職員設定用!$D$8&gt;=職員設定用!$D$10,職員設定用!$D$10,職員設定用!$D$5*$C37*100+職員設定用!$D$7*D$3+職員設定用!$D$8)
+IF(職員設定用!$E$5*$C37*100+職員設定用!$E$7*D$3+職員設定用!$E$8+職員設定用!$E$9*D$3&gt;=職員設定用!$E$10,職員設定用!$E$10,職員設定用!$E$5*$C37*100+職員設定用!$E$7*D$3+職員設定用!$E$8+職員設定用!$E$9*D$3)</f>
        <v>1130000</v>
      </c>
      <c r="E37" s="215">
        <f t="shared" si="0"/>
        <v>94200</v>
      </c>
      <c r="F37" s="207">
        <f>IF(職員設定用!$B$5*$C37*100+職員設定用!$B$7*F$3+職員設定用!$B$8&gt;=職員設定用!$B$10,職員設定用!$B$10,職員設定用!$B$5*$C37*100+職員設定用!$B$7*F$3+職員設定用!$B$8)
+IF(職員設定用!$C$5*$C37*100+職員設定用!$C$7*F$3+職員設定用!$C$8&gt;=職員設定用!$C$10,職員設定用!$C$10,職員設定用!$C$5*$C37*100+職員設定用!$C$7*F$3+職員設定用!$C$8)
+IF(職員設定用!$D$5*$C37*100+職員設定用!$D$7*F$3+職員設定用!$D$8&gt;=職員設定用!$D$10,職員設定用!$D$10,職員設定用!$D$5*$C37*100+職員設定用!$D$7*F$3+職員設定用!$D$8)
+IF(職員設定用!$E$5*$C37*100+職員設定用!$E$7*F$3+職員設定用!$E$8+職員設定用!$E$9*F$3&gt;=職員設定用!$E$10,職員設定用!$E$10,職員設定用!$E$5*$C37*100+職員設定用!$E$7*F$3+職員設定用!$E$8+職員設定用!$E$9*F$3)</f>
        <v>1130000</v>
      </c>
      <c r="G37" s="215">
        <f t="shared" si="0"/>
        <v>94200</v>
      </c>
      <c r="H37" s="207">
        <f>IF(職員設定用!$B$5*$C37*100+職員設定用!$B$7*H$3+職員設定用!$B$8&gt;=職員設定用!$B$10,職員設定用!$B$10,職員設定用!$B$5*$C37*100+職員設定用!$B$7*H$3+職員設定用!$B$8)
+IF(職員設定用!$C$5*$C37*100+職員設定用!$C$7*H$3+職員設定用!$C$8&gt;=職員設定用!$C$10,職員設定用!$C$10,職員設定用!$C$5*$C37*100+職員設定用!$C$7*H$3+職員設定用!$C$8)
+IF(職員設定用!$D$5*$C37*100+職員設定用!$D$7*H$3+職員設定用!$D$8&gt;=職員設定用!$D$10,職員設定用!$D$10,職員設定用!$D$5*$C37*100+職員設定用!$D$7*H$3+職員設定用!$D$8)
+IF(職員設定用!$E$5*$C37*100+職員設定用!$E$7*H$3+職員設定用!$E$8+職員設定用!$E$9*H$3&gt;=職員設定用!$E$10,職員設定用!$E$10,職員設定用!$E$5*$C37*100+職員設定用!$E$7*H$3+職員設定用!$E$8+職員設定用!$E$9*H$3)</f>
        <v>1130000</v>
      </c>
      <c r="I37" s="215">
        <f t="shared" ref="I37" si="249">ROUNDUP(H37/12,-2)</f>
        <v>94200</v>
      </c>
      <c r="J37" s="207">
        <f>IF(職員設定用!$B$5*$C37*100+職員設定用!$B$7*J$3+職員設定用!$B$8&gt;=職員設定用!$B$10,職員設定用!$B$10,職員設定用!$B$5*$C37*100+職員設定用!$B$7*J$3+職員設定用!$B$8)
+IF(職員設定用!$C$5*$C37*100+職員設定用!$C$7*J$3+職員設定用!$C$8&gt;=職員設定用!$C$10,職員設定用!$C$10,職員設定用!$C$5*$C37*100+職員設定用!$C$7*J$3+職員設定用!$C$8)
+IF(職員設定用!$D$5*$C37*100+職員設定用!$D$7*J$3+職員設定用!$D$8&gt;=職員設定用!$D$10,職員設定用!$D$10,職員設定用!$D$5*$C37*100+職員設定用!$D$7*J$3+職員設定用!$D$8)
+IF(職員設定用!$E$5*$C37*100+職員設定用!$E$7*J$3+職員設定用!$E$8+職員設定用!$E$9*J$3&gt;=職員設定用!$E$10,職員設定用!$E$10,職員設定用!$E$5*$C37*100+職員設定用!$E$7*J$3+職員設定用!$E$8+職員設定用!$E$9*J$3)</f>
        <v>1130000</v>
      </c>
      <c r="K37" s="215">
        <f t="shared" ref="K37" si="250">ROUNDUP(J37/12,-2)</f>
        <v>94200</v>
      </c>
      <c r="L37" s="207">
        <f>IF(職員設定用!$B$5*$C37*100+職員設定用!$B$7*L$3+職員設定用!$B$8&gt;=職員設定用!$B$10,職員設定用!$B$10,職員設定用!$B$5*$C37*100+職員設定用!$B$7*L$3+職員設定用!$B$8)
+IF(職員設定用!$C$5*$C37*100+職員設定用!$C$7*L$3+職員設定用!$C$8&gt;=職員設定用!$C$10,職員設定用!$C$10,職員設定用!$C$5*$C37*100+職員設定用!$C$7*L$3+職員設定用!$C$8)
+IF(職員設定用!$D$5*$C37*100+職員設定用!$D$7*L$3+職員設定用!$D$8&gt;=職員設定用!$D$10,職員設定用!$D$10,職員設定用!$D$5*$C37*100+職員設定用!$D$7*L$3+職員設定用!$D$8)
+IF(職員設定用!$E$5*$C37*100+職員設定用!$E$7*L$3+職員設定用!$E$8+職員設定用!$E$9*L$3&gt;=職員設定用!$E$10,職員設定用!$E$10,職員設定用!$E$5*$C37*100+職員設定用!$E$7*L$3+職員設定用!$E$8+職員設定用!$E$9*L$3)</f>
        <v>1130000</v>
      </c>
      <c r="M37" s="215">
        <f t="shared" ref="M37" si="251">ROUNDUP(L37/12,-2)</f>
        <v>94200</v>
      </c>
      <c r="N37" s="207">
        <f>IF(職員設定用!$B$5*$C37*100+職員設定用!$B$7*N$3+職員設定用!$B$8&gt;=職員設定用!$B$10,職員設定用!$B$10,職員設定用!$B$5*$C37*100+職員設定用!$B$7*N$3+職員設定用!$B$8)
+IF(職員設定用!$C$5*$C37*100+職員設定用!$C$7*N$3+職員設定用!$C$8&gt;=職員設定用!$C$10,職員設定用!$C$10,職員設定用!$C$5*$C37*100+職員設定用!$C$7*N$3+職員設定用!$C$8)
+IF(職員設定用!$D$5*$C37*100+職員設定用!$D$7*N$3+職員設定用!$D$8&gt;=職員設定用!$D$10,職員設定用!$D$10,職員設定用!$D$5*$C37*100+職員設定用!$D$7*N$3+職員設定用!$D$8)
+IF(職員設定用!$E$5*$C37*100+職員設定用!$E$7*N$3+職員設定用!$E$8+職員設定用!$E$9*N$3&gt;=職員設定用!$E$10,職員設定用!$E$10,職員設定用!$E$5*$C37*100+職員設定用!$E$7*N$3+職員設定用!$E$8+職員設定用!$E$9*N$3)</f>
        <v>1130000</v>
      </c>
      <c r="O37" s="215">
        <f t="shared" ref="O37" si="252">ROUNDUP(N37/12,-2)</f>
        <v>94200</v>
      </c>
      <c r="P37" s="207">
        <f>IF(職員設定用!$B$5*$C37*100+職員設定用!$B$7*P$3+職員設定用!$B$8&gt;=職員設定用!$B$10,職員設定用!$B$10,職員設定用!$B$5*$C37*100+職員設定用!$B$7*P$3+職員設定用!$B$8)
+IF(職員設定用!$C$5*$C37*100+職員設定用!$C$7*P$3+職員設定用!$C$8&gt;=職員設定用!$C$10,職員設定用!$C$10,職員設定用!$C$5*$C37*100+職員設定用!$C$7*P$3+職員設定用!$C$8)
+IF(職員設定用!$D$5*$C37*100+職員設定用!$D$7*P$3+職員設定用!$D$8&gt;=職員設定用!$D$10,職員設定用!$D$10,職員設定用!$D$5*$C37*100+職員設定用!$D$7*P$3+職員設定用!$D$8)
+IF(職員設定用!$E$5*$C37*100+職員設定用!$E$7*P$3+職員設定用!$E$8+職員設定用!$E$9*P$3&gt;=職員設定用!$E$10,職員設定用!$E$10,職員設定用!$E$5*$C37*100+職員設定用!$E$7*P$3+職員設定用!$E$8+職員設定用!$E$9*P$3)</f>
        <v>1130000</v>
      </c>
      <c r="Q37" s="215">
        <f t="shared" ref="Q37" si="253">ROUNDUP(P37/12,-2)</f>
        <v>94200</v>
      </c>
      <c r="R37" s="207">
        <f>IF(職員設定用!$B$5*$C37*100+職員設定用!$B$7*R$3+職員設定用!$B$8&gt;=職員設定用!$B$10,職員設定用!$B$10,職員設定用!$B$5*$C37*100+職員設定用!$B$7*R$3+職員設定用!$B$8)
+IF(職員設定用!$C$5*$C37*100+職員設定用!$C$7*R$3+職員設定用!$C$8&gt;=職員設定用!$C$10,職員設定用!$C$10,職員設定用!$C$5*$C37*100+職員設定用!$C$7*R$3+職員設定用!$C$8)
+IF(職員設定用!$D$5*$C37*100+職員設定用!$D$7*R$3+職員設定用!$D$8&gt;=職員設定用!$D$10,職員設定用!$D$10,職員設定用!$D$5*$C37*100+職員設定用!$D$7*R$3+職員設定用!$D$8)
+IF(職員設定用!$E$5*$C37*100+職員設定用!$E$7*R$3+職員設定用!$E$8+職員設定用!$E$9*R$3&gt;=職員設定用!$E$10,職員設定用!$E$10,職員設定用!$E$5*$C37*100+職員設定用!$E$7*R$3+職員設定用!$E$8+職員設定用!$E$9*R$3)</f>
        <v>1130000</v>
      </c>
      <c r="S37" s="215">
        <f t="shared" ref="S37" si="254">ROUNDUP(R37/12,-2)</f>
        <v>94200</v>
      </c>
      <c r="T37" s="207">
        <f>IF(職員設定用!$B$5*$C37*100+職員設定用!$B$7*T$3+職員設定用!$B$8&gt;=職員設定用!$B$10,職員設定用!$B$10,職員設定用!$B$5*$C37*100+職員設定用!$B$7*T$3+職員設定用!$B$8)
+IF(職員設定用!$C$5*$C37*100+職員設定用!$C$7*T$3+職員設定用!$C$8&gt;=職員設定用!$C$10,職員設定用!$C$10,職員設定用!$C$5*$C37*100+職員設定用!$C$7*T$3+職員設定用!$C$8)
+IF(職員設定用!$D$5*$C37*100+職員設定用!$D$7*T$3+職員設定用!$D$8&gt;=職員設定用!$D$10,職員設定用!$D$10,職員設定用!$D$5*$C37*100+職員設定用!$D$7*T$3+職員設定用!$D$8)
+IF(職員設定用!$E$5*$C37*100+職員設定用!$E$7*T$3+職員設定用!$E$8+職員設定用!$E$9*T$3&gt;=職員設定用!$E$10,職員設定用!$E$10,職員設定用!$E$5*$C37*100+職員設定用!$E$7*T$3+職員設定用!$E$8+職員設定用!$E$9*T$3)</f>
        <v>1130000</v>
      </c>
      <c r="U37" s="215">
        <f t="shared" ref="U37" si="255">ROUNDUP(T37/12,-2)</f>
        <v>94200</v>
      </c>
      <c r="V37" s="207">
        <f>IF(職員設定用!$B$5*$C37*100+職員設定用!$B$7*V$3+職員設定用!$B$8&gt;=職員設定用!$B$10,職員設定用!$B$10,職員設定用!$B$5*$C37*100+職員設定用!$B$7*V$3+職員設定用!$B$8)
+IF(職員設定用!$C$5*$C37*100+職員設定用!$C$7*V$3+職員設定用!$C$8&gt;=職員設定用!$C$10,職員設定用!$C$10,職員設定用!$C$5*$C37*100+職員設定用!$C$7*V$3+職員設定用!$C$8)
+IF(職員設定用!$D$5*$C37*100+職員設定用!$D$7*V$3+職員設定用!$D$8&gt;=職員設定用!$D$10,職員設定用!$D$10,職員設定用!$D$5*$C37*100+職員設定用!$D$7*V$3+職員設定用!$D$8)
+IF(職員設定用!$E$5*$C37*100+職員設定用!$E$7*V$3+職員設定用!$E$8+職員設定用!$E$9*V$3&gt;=職員設定用!$E$10,職員設定用!$E$10,職員設定用!$E$5*$C37*100+職員設定用!$E$7*V$3+職員設定用!$E$8+職員設定用!$E$9*V$3)</f>
        <v>1130000</v>
      </c>
      <c r="W37" s="215">
        <f t="shared" ref="W37" si="256">ROUNDUP(V37/12,-2)</f>
        <v>94200</v>
      </c>
    </row>
    <row r="38" spans="2:23" ht="22.5" customHeight="1">
      <c r="B38" s="212">
        <v>1650</v>
      </c>
      <c r="C38" s="218">
        <f>IF(B38-職員設定用!$B$19/10000&gt;0,B38-職員設定用!$B$19/10000,0)</f>
        <v>1607</v>
      </c>
      <c r="D38" s="207">
        <f>IF(職員設定用!$B$5*$C38*100+職員設定用!$B$7*D$3+職員設定用!$B$8&gt;=職員設定用!$B$10,職員設定用!$B$10,職員設定用!$B$5*$C38*100+職員設定用!$B$7*D$3+職員設定用!$B$8)
+IF(職員設定用!$C$5*$C38*100+職員設定用!$C$7*D$3+職員設定用!$C$8&gt;=職員設定用!$C$10,職員設定用!$C$10,職員設定用!$C$5*$C38*100+職員設定用!$C$7*D$3+職員設定用!$C$8)
+IF(職員設定用!$D$5*$C38*100+職員設定用!$D$7*D$3+職員設定用!$D$8&gt;=職員設定用!$D$10,職員設定用!$D$10,職員設定用!$D$5*$C38*100+職員設定用!$D$7*D$3+職員設定用!$D$8)
+IF(職員設定用!$E$5*$C38*100+職員設定用!$E$7*D$3+職員設定用!$E$8+職員設定用!$E$9*D$3&gt;=職員設定用!$E$10,職員設定用!$E$10,職員設定用!$E$5*$C38*100+職員設定用!$E$7*D$3+職員設定用!$E$8+職員設定用!$E$9*D$3)</f>
        <v>1130000</v>
      </c>
      <c r="E38" s="215">
        <f t="shared" si="0"/>
        <v>94200</v>
      </c>
      <c r="F38" s="207">
        <f>IF(職員設定用!$B$5*$C38*100+職員設定用!$B$7*F$3+職員設定用!$B$8&gt;=職員設定用!$B$10,職員設定用!$B$10,職員設定用!$B$5*$C38*100+職員設定用!$B$7*F$3+職員設定用!$B$8)
+IF(職員設定用!$C$5*$C38*100+職員設定用!$C$7*F$3+職員設定用!$C$8&gt;=職員設定用!$C$10,職員設定用!$C$10,職員設定用!$C$5*$C38*100+職員設定用!$C$7*F$3+職員設定用!$C$8)
+IF(職員設定用!$D$5*$C38*100+職員設定用!$D$7*F$3+職員設定用!$D$8&gt;=職員設定用!$D$10,職員設定用!$D$10,職員設定用!$D$5*$C38*100+職員設定用!$D$7*F$3+職員設定用!$D$8)
+IF(職員設定用!$E$5*$C38*100+職員設定用!$E$7*F$3+職員設定用!$E$8+職員設定用!$E$9*F$3&gt;=職員設定用!$E$10,職員設定用!$E$10,職員設定用!$E$5*$C38*100+職員設定用!$E$7*F$3+職員設定用!$E$8+職員設定用!$E$9*F$3)</f>
        <v>1130000</v>
      </c>
      <c r="G38" s="215">
        <f t="shared" si="0"/>
        <v>94200</v>
      </c>
      <c r="H38" s="207">
        <f>IF(職員設定用!$B$5*$C38*100+職員設定用!$B$7*H$3+職員設定用!$B$8&gt;=職員設定用!$B$10,職員設定用!$B$10,職員設定用!$B$5*$C38*100+職員設定用!$B$7*H$3+職員設定用!$B$8)
+IF(職員設定用!$C$5*$C38*100+職員設定用!$C$7*H$3+職員設定用!$C$8&gt;=職員設定用!$C$10,職員設定用!$C$10,職員設定用!$C$5*$C38*100+職員設定用!$C$7*H$3+職員設定用!$C$8)
+IF(職員設定用!$D$5*$C38*100+職員設定用!$D$7*H$3+職員設定用!$D$8&gt;=職員設定用!$D$10,職員設定用!$D$10,職員設定用!$D$5*$C38*100+職員設定用!$D$7*H$3+職員設定用!$D$8)
+IF(職員設定用!$E$5*$C38*100+職員設定用!$E$7*H$3+職員設定用!$E$8+職員設定用!$E$9*H$3&gt;=職員設定用!$E$10,職員設定用!$E$10,職員設定用!$E$5*$C38*100+職員設定用!$E$7*H$3+職員設定用!$E$8+職員設定用!$E$9*H$3)</f>
        <v>1130000</v>
      </c>
      <c r="I38" s="215">
        <f t="shared" ref="I38" si="257">ROUNDUP(H38/12,-2)</f>
        <v>94200</v>
      </c>
      <c r="J38" s="207">
        <f>IF(職員設定用!$B$5*$C38*100+職員設定用!$B$7*J$3+職員設定用!$B$8&gt;=職員設定用!$B$10,職員設定用!$B$10,職員設定用!$B$5*$C38*100+職員設定用!$B$7*J$3+職員設定用!$B$8)
+IF(職員設定用!$C$5*$C38*100+職員設定用!$C$7*J$3+職員設定用!$C$8&gt;=職員設定用!$C$10,職員設定用!$C$10,職員設定用!$C$5*$C38*100+職員設定用!$C$7*J$3+職員設定用!$C$8)
+IF(職員設定用!$D$5*$C38*100+職員設定用!$D$7*J$3+職員設定用!$D$8&gt;=職員設定用!$D$10,職員設定用!$D$10,職員設定用!$D$5*$C38*100+職員設定用!$D$7*J$3+職員設定用!$D$8)
+IF(職員設定用!$E$5*$C38*100+職員設定用!$E$7*J$3+職員設定用!$E$8+職員設定用!$E$9*J$3&gt;=職員設定用!$E$10,職員設定用!$E$10,職員設定用!$E$5*$C38*100+職員設定用!$E$7*J$3+職員設定用!$E$8+職員設定用!$E$9*J$3)</f>
        <v>1130000</v>
      </c>
      <c r="K38" s="215">
        <f t="shared" ref="K38" si="258">ROUNDUP(J38/12,-2)</f>
        <v>94200</v>
      </c>
      <c r="L38" s="207">
        <f>IF(職員設定用!$B$5*$C38*100+職員設定用!$B$7*L$3+職員設定用!$B$8&gt;=職員設定用!$B$10,職員設定用!$B$10,職員設定用!$B$5*$C38*100+職員設定用!$B$7*L$3+職員設定用!$B$8)
+IF(職員設定用!$C$5*$C38*100+職員設定用!$C$7*L$3+職員設定用!$C$8&gt;=職員設定用!$C$10,職員設定用!$C$10,職員設定用!$C$5*$C38*100+職員設定用!$C$7*L$3+職員設定用!$C$8)
+IF(職員設定用!$D$5*$C38*100+職員設定用!$D$7*L$3+職員設定用!$D$8&gt;=職員設定用!$D$10,職員設定用!$D$10,職員設定用!$D$5*$C38*100+職員設定用!$D$7*L$3+職員設定用!$D$8)
+IF(職員設定用!$E$5*$C38*100+職員設定用!$E$7*L$3+職員設定用!$E$8+職員設定用!$E$9*L$3&gt;=職員設定用!$E$10,職員設定用!$E$10,職員設定用!$E$5*$C38*100+職員設定用!$E$7*L$3+職員設定用!$E$8+職員設定用!$E$9*L$3)</f>
        <v>1130000</v>
      </c>
      <c r="M38" s="215">
        <f t="shared" ref="M38" si="259">ROUNDUP(L38/12,-2)</f>
        <v>94200</v>
      </c>
      <c r="N38" s="207">
        <f>IF(職員設定用!$B$5*$C38*100+職員設定用!$B$7*N$3+職員設定用!$B$8&gt;=職員設定用!$B$10,職員設定用!$B$10,職員設定用!$B$5*$C38*100+職員設定用!$B$7*N$3+職員設定用!$B$8)
+IF(職員設定用!$C$5*$C38*100+職員設定用!$C$7*N$3+職員設定用!$C$8&gt;=職員設定用!$C$10,職員設定用!$C$10,職員設定用!$C$5*$C38*100+職員設定用!$C$7*N$3+職員設定用!$C$8)
+IF(職員設定用!$D$5*$C38*100+職員設定用!$D$7*N$3+職員設定用!$D$8&gt;=職員設定用!$D$10,職員設定用!$D$10,職員設定用!$D$5*$C38*100+職員設定用!$D$7*N$3+職員設定用!$D$8)
+IF(職員設定用!$E$5*$C38*100+職員設定用!$E$7*N$3+職員設定用!$E$8+職員設定用!$E$9*N$3&gt;=職員設定用!$E$10,職員設定用!$E$10,職員設定用!$E$5*$C38*100+職員設定用!$E$7*N$3+職員設定用!$E$8+職員設定用!$E$9*N$3)</f>
        <v>1130000</v>
      </c>
      <c r="O38" s="215">
        <f t="shared" ref="O38" si="260">ROUNDUP(N38/12,-2)</f>
        <v>94200</v>
      </c>
      <c r="P38" s="207">
        <f>IF(職員設定用!$B$5*$C38*100+職員設定用!$B$7*P$3+職員設定用!$B$8&gt;=職員設定用!$B$10,職員設定用!$B$10,職員設定用!$B$5*$C38*100+職員設定用!$B$7*P$3+職員設定用!$B$8)
+IF(職員設定用!$C$5*$C38*100+職員設定用!$C$7*P$3+職員設定用!$C$8&gt;=職員設定用!$C$10,職員設定用!$C$10,職員設定用!$C$5*$C38*100+職員設定用!$C$7*P$3+職員設定用!$C$8)
+IF(職員設定用!$D$5*$C38*100+職員設定用!$D$7*P$3+職員設定用!$D$8&gt;=職員設定用!$D$10,職員設定用!$D$10,職員設定用!$D$5*$C38*100+職員設定用!$D$7*P$3+職員設定用!$D$8)
+IF(職員設定用!$E$5*$C38*100+職員設定用!$E$7*P$3+職員設定用!$E$8+職員設定用!$E$9*P$3&gt;=職員設定用!$E$10,職員設定用!$E$10,職員設定用!$E$5*$C38*100+職員設定用!$E$7*P$3+職員設定用!$E$8+職員設定用!$E$9*P$3)</f>
        <v>1130000</v>
      </c>
      <c r="Q38" s="215">
        <f t="shared" ref="Q38" si="261">ROUNDUP(P38/12,-2)</f>
        <v>94200</v>
      </c>
      <c r="R38" s="207">
        <f>IF(職員設定用!$B$5*$C38*100+職員設定用!$B$7*R$3+職員設定用!$B$8&gt;=職員設定用!$B$10,職員設定用!$B$10,職員設定用!$B$5*$C38*100+職員設定用!$B$7*R$3+職員設定用!$B$8)
+IF(職員設定用!$C$5*$C38*100+職員設定用!$C$7*R$3+職員設定用!$C$8&gt;=職員設定用!$C$10,職員設定用!$C$10,職員設定用!$C$5*$C38*100+職員設定用!$C$7*R$3+職員設定用!$C$8)
+IF(職員設定用!$D$5*$C38*100+職員設定用!$D$7*R$3+職員設定用!$D$8&gt;=職員設定用!$D$10,職員設定用!$D$10,職員設定用!$D$5*$C38*100+職員設定用!$D$7*R$3+職員設定用!$D$8)
+IF(職員設定用!$E$5*$C38*100+職員設定用!$E$7*R$3+職員設定用!$E$8+職員設定用!$E$9*R$3&gt;=職員設定用!$E$10,職員設定用!$E$10,職員設定用!$E$5*$C38*100+職員設定用!$E$7*R$3+職員設定用!$E$8+職員設定用!$E$9*R$3)</f>
        <v>1130000</v>
      </c>
      <c r="S38" s="215">
        <f t="shared" ref="S38" si="262">ROUNDUP(R38/12,-2)</f>
        <v>94200</v>
      </c>
      <c r="T38" s="207">
        <f>IF(職員設定用!$B$5*$C38*100+職員設定用!$B$7*T$3+職員設定用!$B$8&gt;=職員設定用!$B$10,職員設定用!$B$10,職員設定用!$B$5*$C38*100+職員設定用!$B$7*T$3+職員設定用!$B$8)
+IF(職員設定用!$C$5*$C38*100+職員設定用!$C$7*T$3+職員設定用!$C$8&gt;=職員設定用!$C$10,職員設定用!$C$10,職員設定用!$C$5*$C38*100+職員設定用!$C$7*T$3+職員設定用!$C$8)
+IF(職員設定用!$D$5*$C38*100+職員設定用!$D$7*T$3+職員設定用!$D$8&gt;=職員設定用!$D$10,職員設定用!$D$10,職員設定用!$D$5*$C38*100+職員設定用!$D$7*T$3+職員設定用!$D$8)
+IF(職員設定用!$E$5*$C38*100+職員設定用!$E$7*T$3+職員設定用!$E$8+職員設定用!$E$9*T$3&gt;=職員設定用!$E$10,職員設定用!$E$10,職員設定用!$E$5*$C38*100+職員設定用!$E$7*T$3+職員設定用!$E$8+職員設定用!$E$9*T$3)</f>
        <v>1130000</v>
      </c>
      <c r="U38" s="215">
        <f t="shared" ref="U38" si="263">ROUNDUP(T38/12,-2)</f>
        <v>94200</v>
      </c>
      <c r="V38" s="207">
        <f>IF(職員設定用!$B$5*$C38*100+職員設定用!$B$7*V$3+職員設定用!$B$8&gt;=職員設定用!$B$10,職員設定用!$B$10,職員設定用!$B$5*$C38*100+職員設定用!$B$7*V$3+職員設定用!$B$8)
+IF(職員設定用!$C$5*$C38*100+職員設定用!$C$7*V$3+職員設定用!$C$8&gt;=職員設定用!$C$10,職員設定用!$C$10,職員設定用!$C$5*$C38*100+職員設定用!$C$7*V$3+職員設定用!$C$8)
+IF(職員設定用!$D$5*$C38*100+職員設定用!$D$7*V$3+職員設定用!$D$8&gt;=職員設定用!$D$10,職員設定用!$D$10,職員設定用!$D$5*$C38*100+職員設定用!$D$7*V$3+職員設定用!$D$8)
+IF(職員設定用!$E$5*$C38*100+職員設定用!$E$7*V$3+職員設定用!$E$8+職員設定用!$E$9*V$3&gt;=職員設定用!$E$10,職員設定用!$E$10,職員設定用!$E$5*$C38*100+職員設定用!$E$7*V$3+職員設定用!$E$8+職員設定用!$E$9*V$3)</f>
        <v>1130000</v>
      </c>
      <c r="W38" s="215">
        <f t="shared" ref="W38" si="264">ROUNDUP(V38/12,-2)</f>
        <v>94200</v>
      </c>
    </row>
    <row r="39" spans="2:23" ht="22.5" customHeight="1">
      <c r="B39" s="212">
        <v>1700</v>
      </c>
      <c r="C39" s="218">
        <f>IF(B39-職員設定用!$B$19/10000&gt;0,B39-職員設定用!$B$19/10000,0)</f>
        <v>1657</v>
      </c>
      <c r="D39" s="207">
        <f>IF(職員設定用!$B$5*$C39*100+職員設定用!$B$7*D$3+職員設定用!$B$8&gt;=職員設定用!$B$10,職員設定用!$B$10,職員設定用!$B$5*$C39*100+職員設定用!$B$7*D$3+職員設定用!$B$8)
+IF(職員設定用!$C$5*$C39*100+職員設定用!$C$7*D$3+職員設定用!$C$8&gt;=職員設定用!$C$10,職員設定用!$C$10,職員設定用!$C$5*$C39*100+職員設定用!$C$7*D$3+職員設定用!$C$8)
+IF(職員設定用!$D$5*$C39*100+職員設定用!$D$7*D$3+職員設定用!$D$8&gt;=職員設定用!$D$10,職員設定用!$D$10,職員設定用!$D$5*$C39*100+職員設定用!$D$7*D$3+職員設定用!$D$8)
+IF(職員設定用!$E$5*$C39*100+職員設定用!$E$7*D$3+職員設定用!$E$8+職員設定用!$E$9*D$3&gt;=職員設定用!$E$10,職員設定用!$E$10,職員設定用!$E$5*$C39*100+職員設定用!$E$7*D$3+職員設定用!$E$8+職員設定用!$E$9*D$3)</f>
        <v>1130000</v>
      </c>
      <c r="E39" s="215">
        <f t="shared" si="0"/>
        <v>94200</v>
      </c>
      <c r="F39" s="207">
        <f>IF(職員設定用!$B$5*$C39*100+職員設定用!$B$7*F$3+職員設定用!$B$8&gt;=職員設定用!$B$10,職員設定用!$B$10,職員設定用!$B$5*$C39*100+職員設定用!$B$7*F$3+職員設定用!$B$8)
+IF(職員設定用!$C$5*$C39*100+職員設定用!$C$7*F$3+職員設定用!$C$8&gt;=職員設定用!$C$10,職員設定用!$C$10,職員設定用!$C$5*$C39*100+職員設定用!$C$7*F$3+職員設定用!$C$8)
+IF(職員設定用!$D$5*$C39*100+職員設定用!$D$7*F$3+職員設定用!$D$8&gt;=職員設定用!$D$10,職員設定用!$D$10,職員設定用!$D$5*$C39*100+職員設定用!$D$7*F$3+職員設定用!$D$8)
+IF(職員設定用!$E$5*$C39*100+職員設定用!$E$7*F$3+職員設定用!$E$8+職員設定用!$E$9*F$3&gt;=職員設定用!$E$10,職員設定用!$E$10,職員設定用!$E$5*$C39*100+職員設定用!$E$7*F$3+職員設定用!$E$8+職員設定用!$E$9*F$3)</f>
        <v>1130000</v>
      </c>
      <c r="G39" s="215">
        <f t="shared" si="0"/>
        <v>94200</v>
      </c>
      <c r="H39" s="207">
        <f>IF(職員設定用!$B$5*$C39*100+職員設定用!$B$7*H$3+職員設定用!$B$8&gt;=職員設定用!$B$10,職員設定用!$B$10,職員設定用!$B$5*$C39*100+職員設定用!$B$7*H$3+職員設定用!$B$8)
+IF(職員設定用!$C$5*$C39*100+職員設定用!$C$7*H$3+職員設定用!$C$8&gt;=職員設定用!$C$10,職員設定用!$C$10,職員設定用!$C$5*$C39*100+職員設定用!$C$7*H$3+職員設定用!$C$8)
+IF(職員設定用!$D$5*$C39*100+職員設定用!$D$7*H$3+職員設定用!$D$8&gt;=職員設定用!$D$10,職員設定用!$D$10,職員設定用!$D$5*$C39*100+職員設定用!$D$7*H$3+職員設定用!$D$8)
+IF(職員設定用!$E$5*$C39*100+職員設定用!$E$7*H$3+職員設定用!$E$8+職員設定用!$E$9*H$3&gt;=職員設定用!$E$10,職員設定用!$E$10,職員設定用!$E$5*$C39*100+職員設定用!$E$7*H$3+職員設定用!$E$8+職員設定用!$E$9*H$3)</f>
        <v>1130000</v>
      </c>
      <c r="I39" s="215">
        <f t="shared" ref="I39" si="265">ROUNDUP(H39/12,-2)</f>
        <v>94200</v>
      </c>
      <c r="J39" s="207">
        <f>IF(職員設定用!$B$5*$C39*100+職員設定用!$B$7*J$3+職員設定用!$B$8&gt;=職員設定用!$B$10,職員設定用!$B$10,職員設定用!$B$5*$C39*100+職員設定用!$B$7*J$3+職員設定用!$B$8)
+IF(職員設定用!$C$5*$C39*100+職員設定用!$C$7*J$3+職員設定用!$C$8&gt;=職員設定用!$C$10,職員設定用!$C$10,職員設定用!$C$5*$C39*100+職員設定用!$C$7*J$3+職員設定用!$C$8)
+IF(職員設定用!$D$5*$C39*100+職員設定用!$D$7*J$3+職員設定用!$D$8&gt;=職員設定用!$D$10,職員設定用!$D$10,職員設定用!$D$5*$C39*100+職員設定用!$D$7*J$3+職員設定用!$D$8)
+IF(職員設定用!$E$5*$C39*100+職員設定用!$E$7*J$3+職員設定用!$E$8+職員設定用!$E$9*J$3&gt;=職員設定用!$E$10,職員設定用!$E$10,職員設定用!$E$5*$C39*100+職員設定用!$E$7*J$3+職員設定用!$E$8+職員設定用!$E$9*J$3)</f>
        <v>1130000</v>
      </c>
      <c r="K39" s="215">
        <f t="shared" ref="K39" si="266">ROUNDUP(J39/12,-2)</f>
        <v>94200</v>
      </c>
      <c r="L39" s="207">
        <f>IF(職員設定用!$B$5*$C39*100+職員設定用!$B$7*L$3+職員設定用!$B$8&gt;=職員設定用!$B$10,職員設定用!$B$10,職員設定用!$B$5*$C39*100+職員設定用!$B$7*L$3+職員設定用!$B$8)
+IF(職員設定用!$C$5*$C39*100+職員設定用!$C$7*L$3+職員設定用!$C$8&gt;=職員設定用!$C$10,職員設定用!$C$10,職員設定用!$C$5*$C39*100+職員設定用!$C$7*L$3+職員設定用!$C$8)
+IF(職員設定用!$D$5*$C39*100+職員設定用!$D$7*L$3+職員設定用!$D$8&gt;=職員設定用!$D$10,職員設定用!$D$10,職員設定用!$D$5*$C39*100+職員設定用!$D$7*L$3+職員設定用!$D$8)
+IF(職員設定用!$E$5*$C39*100+職員設定用!$E$7*L$3+職員設定用!$E$8+職員設定用!$E$9*L$3&gt;=職員設定用!$E$10,職員設定用!$E$10,職員設定用!$E$5*$C39*100+職員設定用!$E$7*L$3+職員設定用!$E$8+職員設定用!$E$9*L$3)</f>
        <v>1130000</v>
      </c>
      <c r="M39" s="215">
        <f t="shared" ref="M39" si="267">ROUNDUP(L39/12,-2)</f>
        <v>94200</v>
      </c>
      <c r="N39" s="207">
        <f>IF(職員設定用!$B$5*$C39*100+職員設定用!$B$7*N$3+職員設定用!$B$8&gt;=職員設定用!$B$10,職員設定用!$B$10,職員設定用!$B$5*$C39*100+職員設定用!$B$7*N$3+職員設定用!$B$8)
+IF(職員設定用!$C$5*$C39*100+職員設定用!$C$7*N$3+職員設定用!$C$8&gt;=職員設定用!$C$10,職員設定用!$C$10,職員設定用!$C$5*$C39*100+職員設定用!$C$7*N$3+職員設定用!$C$8)
+IF(職員設定用!$D$5*$C39*100+職員設定用!$D$7*N$3+職員設定用!$D$8&gt;=職員設定用!$D$10,職員設定用!$D$10,職員設定用!$D$5*$C39*100+職員設定用!$D$7*N$3+職員設定用!$D$8)
+IF(職員設定用!$E$5*$C39*100+職員設定用!$E$7*N$3+職員設定用!$E$8+職員設定用!$E$9*N$3&gt;=職員設定用!$E$10,職員設定用!$E$10,職員設定用!$E$5*$C39*100+職員設定用!$E$7*N$3+職員設定用!$E$8+職員設定用!$E$9*N$3)</f>
        <v>1130000</v>
      </c>
      <c r="O39" s="215">
        <f t="shared" ref="O39" si="268">ROUNDUP(N39/12,-2)</f>
        <v>94200</v>
      </c>
      <c r="P39" s="207">
        <f>IF(職員設定用!$B$5*$C39*100+職員設定用!$B$7*P$3+職員設定用!$B$8&gt;=職員設定用!$B$10,職員設定用!$B$10,職員設定用!$B$5*$C39*100+職員設定用!$B$7*P$3+職員設定用!$B$8)
+IF(職員設定用!$C$5*$C39*100+職員設定用!$C$7*P$3+職員設定用!$C$8&gt;=職員設定用!$C$10,職員設定用!$C$10,職員設定用!$C$5*$C39*100+職員設定用!$C$7*P$3+職員設定用!$C$8)
+IF(職員設定用!$D$5*$C39*100+職員設定用!$D$7*P$3+職員設定用!$D$8&gt;=職員設定用!$D$10,職員設定用!$D$10,職員設定用!$D$5*$C39*100+職員設定用!$D$7*P$3+職員設定用!$D$8)
+IF(職員設定用!$E$5*$C39*100+職員設定用!$E$7*P$3+職員設定用!$E$8+職員設定用!$E$9*P$3&gt;=職員設定用!$E$10,職員設定用!$E$10,職員設定用!$E$5*$C39*100+職員設定用!$E$7*P$3+職員設定用!$E$8+職員設定用!$E$9*P$3)</f>
        <v>1130000</v>
      </c>
      <c r="Q39" s="215">
        <f t="shared" ref="Q39" si="269">ROUNDUP(P39/12,-2)</f>
        <v>94200</v>
      </c>
      <c r="R39" s="207">
        <f>IF(職員設定用!$B$5*$C39*100+職員設定用!$B$7*R$3+職員設定用!$B$8&gt;=職員設定用!$B$10,職員設定用!$B$10,職員設定用!$B$5*$C39*100+職員設定用!$B$7*R$3+職員設定用!$B$8)
+IF(職員設定用!$C$5*$C39*100+職員設定用!$C$7*R$3+職員設定用!$C$8&gt;=職員設定用!$C$10,職員設定用!$C$10,職員設定用!$C$5*$C39*100+職員設定用!$C$7*R$3+職員設定用!$C$8)
+IF(職員設定用!$D$5*$C39*100+職員設定用!$D$7*R$3+職員設定用!$D$8&gt;=職員設定用!$D$10,職員設定用!$D$10,職員設定用!$D$5*$C39*100+職員設定用!$D$7*R$3+職員設定用!$D$8)
+IF(職員設定用!$E$5*$C39*100+職員設定用!$E$7*R$3+職員設定用!$E$8+職員設定用!$E$9*R$3&gt;=職員設定用!$E$10,職員設定用!$E$10,職員設定用!$E$5*$C39*100+職員設定用!$E$7*R$3+職員設定用!$E$8+職員設定用!$E$9*R$3)</f>
        <v>1130000</v>
      </c>
      <c r="S39" s="215">
        <f t="shared" ref="S39" si="270">ROUNDUP(R39/12,-2)</f>
        <v>94200</v>
      </c>
      <c r="T39" s="207">
        <f>IF(職員設定用!$B$5*$C39*100+職員設定用!$B$7*T$3+職員設定用!$B$8&gt;=職員設定用!$B$10,職員設定用!$B$10,職員設定用!$B$5*$C39*100+職員設定用!$B$7*T$3+職員設定用!$B$8)
+IF(職員設定用!$C$5*$C39*100+職員設定用!$C$7*T$3+職員設定用!$C$8&gt;=職員設定用!$C$10,職員設定用!$C$10,職員設定用!$C$5*$C39*100+職員設定用!$C$7*T$3+職員設定用!$C$8)
+IF(職員設定用!$D$5*$C39*100+職員設定用!$D$7*T$3+職員設定用!$D$8&gt;=職員設定用!$D$10,職員設定用!$D$10,職員設定用!$D$5*$C39*100+職員設定用!$D$7*T$3+職員設定用!$D$8)
+IF(職員設定用!$E$5*$C39*100+職員設定用!$E$7*T$3+職員設定用!$E$8+職員設定用!$E$9*T$3&gt;=職員設定用!$E$10,職員設定用!$E$10,職員設定用!$E$5*$C39*100+職員設定用!$E$7*T$3+職員設定用!$E$8+職員設定用!$E$9*T$3)</f>
        <v>1130000</v>
      </c>
      <c r="U39" s="215">
        <f t="shared" ref="U39" si="271">ROUNDUP(T39/12,-2)</f>
        <v>94200</v>
      </c>
      <c r="V39" s="207">
        <f>IF(職員設定用!$B$5*$C39*100+職員設定用!$B$7*V$3+職員設定用!$B$8&gt;=職員設定用!$B$10,職員設定用!$B$10,職員設定用!$B$5*$C39*100+職員設定用!$B$7*V$3+職員設定用!$B$8)
+IF(職員設定用!$C$5*$C39*100+職員設定用!$C$7*V$3+職員設定用!$C$8&gt;=職員設定用!$C$10,職員設定用!$C$10,職員設定用!$C$5*$C39*100+職員設定用!$C$7*V$3+職員設定用!$C$8)
+IF(職員設定用!$D$5*$C39*100+職員設定用!$D$7*V$3+職員設定用!$D$8&gt;=職員設定用!$D$10,職員設定用!$D$10,職員設定用!$D$5*$C39*100+職員設定用!$D$7*V$3+職員設定用!$D$8)
+IF(職員設定用!$E$5*$C39*100+職員設定用!$E$7*V$3+職員設定用!$E$8+職員設定用!$E$9*V$3&gt;=職員設定用!$E$10,職員設定用!$E$10,職員設定用!$E$5*$C39*100+職員設定用!$E$7*V$3+職員設定用!$E$8+職員設定用!$E$9*V$3)</f>
        <v>1130000</v>
      </c>
      <c r="W39" s="215">
        <f t="shared" ref="W39" si="272">ROUNDUP(V39/12,-2)</f>
        <v>94200</v>
      </c>
    </row>
    <row r="40" spans="2:23" ht="22.5" customHeight="1">
      <c r="B40" s="212">
        <v>1750</v>
      </c>
      <c r="C40" s="218">
        <f>IF(B40-職員設定用!$B$19/10000&gt;0,B40-職員設定用!$B$19/10000,0)</f>
        <v>1707</v>
      </c>
      <c r="D40" s="207">
        <f>IF(職員設定用!$B$5*$C40*100+職員設定用!$B$7*D$3+職員設定用!$B$8&gt;=職員設定用!$B$10,職員設定用!$B$10,職員設定用!$B$5*$C40*100+職員設定用!$B$7*D$3+職員設定用!$B$8)
+IF(職員設定用!$C$5*$C40*100+職員設定用!$C$7*D$3+職員設定用!$C$8&gt;=職員設定用!$C$10,職員設定用!$C$10,職員設定用!$C$5*$C40*100+職員設定用!$C$7*D$3+職員設定用!$C$8)
+IF(職員設定用!$D$5*$C40*100+職員設定用!$D$7*D$3+職員設定用!$D$8&gt;=職員設定用!$D$10,職員設定用!$D$10,職員設定用!$D$5*$C40*100+職員設定用!$D$7*D$3+職員設定用!$D$8)
+IF(職員設定用!$E$5*$C40*100+職員設定用!$E$7*D$3+職員設定用!$E$8+職員設定用!$E$9*D$3&gt;=職員設定用!$E$10,職員設定用!$E$10,職員設定用!$E$5*$C40*100+職員設定用!$E$7*D$3+職員設定用!$E$8+職員設定用!$E$9*D$3)</f>
        <v>1130000</v>
      </c>
      <c r="E40" s="215">
        <f t="shared" si="0"/>
        <v>94200</v>
      </c>
      <c r="F40" s="207">
        <f>IF(職員設定用!$B$5*$C40*100+職員設定用!$B$7*F$3+職員設定用!$B$8&gt;=職員設定用!$B$10,職員設定用!$B$10,職員設定用!$B$5*$C40*100+職員設定用!$B$7*F$3+職員設定用!$B$8)
+IF(職員設定用!$C$5*$C40*100+職員設定用!$C$7*F$3+職員設定用!$C$8&gt;=職員設定用!$C$10,職員設定用!$C$10,職員設定用!$C$5*$C40*100+職員設定用!$C$7*F$3+職員設定用!$C$8)
+IF(職員設定用!$D$5*$C40*100+職員設定用!$D$7*F$3+職員設定用!$D$8&gt;=職員設定用!$D$10,職員設定用!$D$10,職員設定用!$D$5*$C40*100+職員設定用!$D$7*F$3+職員設定用!$D$8)
+IF(職員設定用!$E$5*$C40*100+職員設定用!$E$7*F$3+職員設定用!$E$8+職員設定用!$E$9*F$3&gt;=職員設定用!$E$10,職員設定用!$E$10,職員設定用!$E$5*$C40*100+職員設定用!$E$7*F$3+職員設定用!$E$8+職員設定用!$E$9*F$3)</f>
        <v>1130000</v>
      </c>
      <c r="G40" s="215">
        <f t="shared" si="0"/>
        <v>94200</v>
      </c>
      <c r="H40" s="207">
        <f>IF(職員設定用!$B$5*$C40*100+職員設定用!$B$7*H$3+職員設定用!$B$8&gt;=職員設定用!$B$10,職員設定用!$B$10,職員設定用!$B$5*$C40*100+職員設定用!$B$7*H$3+職員設定用!$B$8)
+IF(職員設定用!$C$5*$C40*100+職員設定用!$C$7*H$3+職員設定用!$C$8&gt;=職員設定用!$C$10,職員設定用!$C$10,職員設定用!$C$5*$C40*100+職員設定用!$C$7*H$3+職員設定用!$C$8)
+IF(職員設定用!$D$5*$C40*100+職員設定用!$D$7*H$3+職員設定用!$D$8&gt;=職員設定用!$D$10,職員設定用!$D$10,職員設定用!$D$5*$C40*100+職員設定用!$D$7*H$3+職員設定用!$D$8)
+IF(職員設定用!$E$5*$C40*100+職員設定用!$E$7*H$3+職員設定用!$E$8+職員設定用!$E$9*H$3&gt;=職員設定用!$E$10,職員設定用!$E$10,職員設定用!$E$5*$C40*100+職員設定用!$E$7*H$3+職員設定用!$E$8+職員設定用!$E$9*H$3)</f>
        <v>1130000</v>
      </c>
      <c r="I40" s="215">
        <f t="shared" ref="I40" si="273">ROUNDUP(H40/12,-2)</f>
        <v>94200</v>
      </c>
      <c r="J40" s="207">
        <f>IF(職員設定用!$B$5*$C40*100+職員設定用!$B$7*J$3+職員設定用!$B$8&gt;=職員設定用!$B$10,職員設定用!$B$10,職員設定用!$B$5*$C40*100+職員設定用!$B$7*J$3+職員設定用!$B$8)
+IF(職員設定用!$C$5*$C40*100+職員設定用!$C$7*J$3+職員設定用!$C$8&gt;=職員設定用!$C$10,職員設定用!$C$10,職員設定用!$C$5*$C40*100+職員設定用!$C$7*J$3+職員設定用!$C$8)
+IF(職員設定用!$D$5*$C40*100+職員設定用!$D$7*J$3+職員設定用!$D$8&gt;=職員設定用!$D$10,職員設定用!$D$10,職員設定用!$D$5*$C40*100+職員設定用!$D$7*J$3+職員設定用!$D$8)
+IF(職員設定用!$E$5*$C40*100+職員設定用!$E$7*J$3+職員設定用!$E$8+職員設定用!$E$9*J$3&gt;=職員設定用!$E$10,職員設定用!$E$10,職員設定用!$E$5*$C40*100+職員設定用!$E$7*J$3+職員設定用!$E$8+職員設定用!$E$9*J$3)</f>
        <v>1130000</v>
      </c>
      <c r="K40" s="215">
        <f t="shared" ref="K40" si="274">ROUNDUP(J40/12,-2)</f>
        <v>94200</v>
      </c>
      <c r="L40" s="207">
        <f>IF(職員設定用!$B$5*$C40*100+職員設定用!$B$7*L$3+職員設定用!$B$8&gt;=職員設定用!$B$10,職員設定用!$B$10,職員設定用!$B$5*$C40*100+職員設定用!$B$7*L$3+職員設定用!$B$8)
+IF(職員設定用!$C$5*$C40*100+職員設定用!$C$7*L$3+職員設定用!$C$8&gt;=職員設定用!$C$10,職員設定用!$C$10,職員設定用!$C$5*$C40*100+職員設定用!$C$7*L$3+職員設定用!$C$8)
+IF(職員設定用!$D$5*$C40*100+職員設定用!$D$7*L$3+職員設定用!$D$8&gt;=職員設定用!$D$10,職員設定用!$D$10,職員設定用!$D$5*$C40*100+職員設定用!$D$7*L$3+職員設定用!$D$8)
+IF(職員設定用!$E$5*$C40*100+職員設定用!$E$7*L$3+職員設定用!$E$8+職員設定用!$E$9*L$3&gt;=職員設定用!$E$10,職員設定用!$E$10,職員設定用!$E$5*$C40*100+職員設定用!$E$7*L$3+職員設定用!$E$8+職員設定用!$E$9*L$3)</f>
        <v>1130000</v>
      </c>
      <c r="M40" s="215">
        <f t="shared" ref="M40" si="275">ROUNDUP(L40/12,-2)</f>
        <v>94200</v>
      </c>
      <c r="N40" s="207">
        <f>IF(職員設定用!$B$5*$C40*100+職員設定用!$B$7*N$3+職員設定用!$B$8&gt;=職員設定用!$B$10,職員設定用!$B$10,職員設定用!$B$5*$C40*100+職員設定用!$B$7*N$3+職員設定用!$B$8)
+IF(職員設定用!$C$5*$C40*100+職員設定用!$C$7*N$3+職員設定用!$C$8&gt;=職員設定用!$C$10,職員設定用!$C$10,職員設定用!$C$5*$C40*100+職員設定用!$C$7*N$3+職員設定用!$C$8)
+IF(職員設定用!$D$5*$C40*100+職員設定用!$D$7*N$3+職員設定用!$D$8&gt;=職員設定用!$D$10,職員設定用!$D$10,職員設定用!$D$5*$C40*100+職員設定用!$D$7*N$3+職員設定用!$D$8)
+IF(職員設定用!$E$5*$C40*100+職員設定用!$E$7*N$3+職員設定用!$E$8+職員設定用!$E$9*N$3&gt;=職員設定用!$E$10,職員設定用!$E$10,職員設定用!$E$5*$C40*100+職員設定用!$E$7*N$3+職員設定用!$E$8+職員設定用!$E$9*N$3)</f>
        <v>1130000</v>
      </c>
      <c r="O40" s="215">
        <f t="shared" ref="O40" si="276">ROUNDUP(N40/12,-2)</f>
        <v>94200</v>
      </c>
      <c r="P40" s="207">
        <f>IF(職員設定用!$B$5*$C40*100+職員設定用!$B$7*P$3+職員設定用!$B$8&gt;=職員設定用!$B$10,職員設定用!$B$10,職員設定用!$B$5*$C40*100+職員設定用!$B$7*P$3+職員設定用!$B$8)
+IF(職員設定用!$C$5*$C40*100+職員設定用!$C$7*P$3+職員設定用!$C$8&gt;=職員設定用!$C$10,職員設定用!$C$10,職員設定用!$C$5*$C40*100+職員設定用!$C$7*P$3+職員設定用!$C$8)
+IF(職員設定用!$D$5*$C40*100+職員設定用!$D$7*P$3+職員設定用!$D$8&gt;=職員設定用!$D$10,職員設定用!$D$10,職員設定用!$D$5*$C40*100+職員設定用!$D$7*P$3+職員設定用!$D$8)
+IF(職員設定用!$E$5*$C40*100+職員設定用!$E$7*P$3+職員設定用!$E$8+職員設定用!$E$9*P$3&gt;=職員設定用!$E$10,職員設定用!$E$10,職員設定用!$E$5*$C40*100+職員設定用!$E$7*P$3+職員設定用!$E$8+職員設定用!$E$9*P$3)</f>
        <v>1130000</v>
      </c>
      <c r="Q40" s="215">
        <f t="shared" ref="Q40" si="277">ROUNDUP(P40/12,-2)</f>
        <v>94200</v>
      </c>
      <c r="R40" s="207">
        <f>IF(職員設定用!$B$5*$C40*100+職員設定用!$B$7*R$3+職員設定用!$B$8&gt;=職員設定用!$B$10,職員設定用!$B$10,職員設定用!$B$5*$C40*100+職員設定用!$B$7*R$3+職員設定用!$B$8)
+IF(職員設定用!$C$5*$C40*100+職員設定用!$C$7*R$3+職員設定用!$C$8&gt;=職員設定用!$C$10,職員設定用!$C$10,職員設定用!$C$5*$C40*100+職員設定用!$C$7*R$3+職員設定用!$C$8)
+IF(職員設定用!$D$5*$C40*100+職員設定用!$D$7*R$3+職員設定用!$D$8&gt;=職員設定用!$D$10,職員設定用!$D$10,職員設定用!$D$5*$C40*100+職員設定用!$D$7*R$3+職員設定用!$D$8)
+IF(職員設定用!$E$5*$C40*100+職員設定用!$E$7*R$3+職員設定用!$E$8+職員設定用!$E$9*R$3&gt;=職員設定用!$E$10,職員設定用!$E$10,職員設定用!$E$5*$C40*100+職員設定用!$E$7*R$3+職員設定用!$E$8+職員設定用!$E$9*R$3)</f>
        <v>1130000</v>
      </c>
      <c r="S40" s="215">
        <f t="shared" ref="S40" si="278">ROUNDUP(R40/12,-2)</f>
        <v>94200</v>
      </c>
      <c r="T40" s="207">
        <f>IF(職員設定用!$B$5*$C40*100+職員設定用!$B$7*T$3+職員設定用!$B$8&gt;=職員設定用!$B$10,職員設定用!$B$10,職員設定用!$B$5*$C40*100+職員設定用!$B$7*T$3+職員設定用!$B$8)
+IF(職員設定用!$C$5*$C40*100+職員設定用!$C$7*T$3+職員設定用!$C$8&gt;=職員設定用!$C$10,職員設定用!$C$10,職員設定用!$C$5*$C40*100+職員設定用!$C$7*T$3+職員設定用!$C$8)
+IF(職員設定用!$D$5*$C40*100+職員設定用!$D$7*T$3+職員設定用!$D$8&gt;=職員設定用!$D$10,職員設定用!$D$10,職員設定用!$D$5*$C40*100+職員設定用!$D$7*T$3+職員設定用!$D$8)
+IF(職員設定用!$E$5*$C40*100+職員設定用!$E$7*T$3+職員設定用!$E$8+職員設定用!$E$9*T$3&gt;=職員設定用!$E$10,職員設定用!$E$10,職員設定用!$E$5*$C40*100+職員設定用!$E$7*T$3+職員設定用!$E$8+職員設定用!$E$9*T$3)</f>
        <v>1130000</v>
      </c>
      <c r="U40" s="215">
        <f t="shared" ref="U40" si="279">ROUNDUP(T40/12,-2)</f>
        <v>94200</v>
      </c>
      <c r="V40" s="207">
        <f>IF(職員設定用!$B$5*$C40*100+職員設定用!$B$7*V$3+職員設定用!$B$8&gt;=職員設定用!$B$10,職員設定用!$B$10,職員設定用!$B$5*$C40*100+職員設定用!$B$7*V$3+職員設定用!$B$8)
+IF(職員設定用!$C$5*$C40*100+職員設定用!$C$7*V$3+職員設定用!$C$8&gt;=職員設定用!$C$10,職員設定用!$C$10,職員設定用!$C$5*$C40*100+職員設定用!$C$7*V$3+職員設定用!$C$8)
+IF(職員設定用!$D$5*$C40*100+職員設定用!$D$7*V$3+職員設定用!$D$8&gt;=職員設定用!$D$10,職員設定用!$D$10,職員設定用!$D$5*$C40*100+職員設定用!$D$7*V$3+職員設定用!$D$8)
+IF(職員設定用!$E$5*$C40*100+職員設定用!$E$7*V$3+職員設定用!$E$8+職員設定用!$E$9*V$3&gt;=職員設定用!$E$10,職員設定用!$E$10,職員設定用!$E$5*$C40*100+職員設定用!$E$7*V$3+職員設定用!$E$8+職員設定用!$E$9*V$3)</f>
        <v>1130000</v>
      </c>
      <c r="W40" s="215">
        <f t="shared" ref="W40" si="280">ROUNDUP(V40/12,-2)</f>
        <v>94200</v>
      </c>
    </row>
    <row r="41" spans="2:23" ht="22.5" customHeight="1">
      <c r="B41" s="212">
        <v>1800</v>
      </c>
      <c r="C41" s="218">
        <f>IF(B41-職員設定用!$B$19/10000&gt;0,B41-職員設定用!$B$19/10000,0)</f>
        <v>1757</v>
      </c>
      <c r="D41" s="207">
        <f>IF(職員設定用!$B$5*$C41*100+職員設定用!$B$7*D$3+職員設定用!$B$8&gt;=職員設定用!$B$10,職員設定用!$B$10,職員設定用!$B$5*$C41*100+職員設定用!$B$7*D$3+職員設定用!$B$8)
+IF(職員設定用!$C$5*$C41*100+職員設定用!$C$7*D$3+職員設定用!$C$8&gt;=職員設定用!$C$10,職員設定用!$C$10,職員設定用!$C$5*$C41*100+職員設定用!$C$7*D$3+職員設定用!$C$8)
+IF(職員設定用!$D$5*$C41*100+職員設定用!$D$7*D$3+職員設定用!$D$8&gt;=職員設定用!$D$10,職員設定用!$D$10,職員設定用!$D$5*$C41*100+職員設定用!$D$7*D$3+職員設定用!$D$8)
+IF(職員設定用!$E$5*$C41*100+職員設定用!$E$7*D$3+職員設定用!$E$8+職員設定用!$E$9*D$3&gt;=職員設定用!$E$10,職員設定用!$E$10,職員設定用!$E$5*$C41*100+職員設定用!$E$7*D$3+職員設定用!$E$8+職員設定用!$E$9*D$3)</f>
        <v>1130000</v>
      </c>
      <c r="E41" s="215">
        <f t="shared" si="0"/>
        <v>94200</v>
      </c>
      <c r="F41" s="207">
        <f>IF(職員設定用!$B$5*$C41*100+職員設定用!$B$7*F$3+職員設定用!$B$8&gt;=職員設定用!$B$10,職員設定用!$B$10,職員設定用!$B$5*$C41*100+職員設定用!$B$7*F$3+職員設定用!$B$8)
+IF(職員設定用!$C$5*$C41*100+職員設定用!$C$7*F$3+職員設定用!$C$8&gt;=職員設定用!$C$10,職員設定用!$C$10,職員設定用!$C$5*$C41*100+職員設定用!$C$7*F$3+職員設定用!$C$8)
+IF(職員設定用!$D$5*$C41*100+職員設定用!$D$7*F$3+職員設定用!$D$8&gt;=職員設定用!$D$10,職員設定用!$D$10,職員設定用!$D$5*$C41*100+職員設定用!$D$7*F$3+職員設定用!$D$8)
+IF(職員設定用!$E$5*$C41*100+職員設定用!$E$7*F$3+職員設定用!$E$8+職員設定用!$E$9*F$3&gt;=職員設定用!$E$10,職員設定用!$E$10,職員設定用!$E$5*$C41*100+職員設定用!$E$7*F$3+職員設定用!$E$8+職員設定用!$E$9*F$3)</f>
        <v>1130000</v>
      </c>
      <c r="G41" s="215">
        <f t="shared" si="0"/>
        <v>94200</v>
      </c>
      <c r="H41" s="207">
        <f>IF(職員設定用!$B$5*$C41*100+職員設定用!$B$7*H$3+職員設定用!$B$8&gt;=職員設定用!$B$10,職員設定用!$B$10,職員設定用!$B$5*$C41*100+職員設定用!$B$7*H$3+職員設定用!$B$8)
+IF(職員設定用!$C$5*$C41*100+職員設定用!$C$7*H$3+職員設定用!$C$8&gt;=職員設定用!$C$10,職員設定用!$C$10,職員設定用!$C$5*$C41*100+職員設定用!$C$7*H$3+職員設定用!$C$8)
+IF(職員設定用!$D$5*$C41*100+職員設定用!$D$7*H$3+職員設定用!$D$8&gt;=職員設定用!$D$10,職員設定用!$D$10,職員設定用!$D$5*$C41*100+職員設定用!$D$7*H$3+職員設定用!$D$8)
+IF(職員設定用!$E$5*$C41*100+職員設定用!$E$7*H$3+職員設定用!$E$8+職員設定用!$E$9*H$3&gt;=職員設定用!$E$10,職員設定用!$E$10,職員設定用!$E$5*$C41*100+職員設定用!$E$7*H$3+職員設定用!$E$8+職員設定用!$E$9*H$3)</f>
        <v>1130000</v>
      </c>
      <c r="I41" s="215">
        <f t="shared" ref="I41" si="281">ROUNDUP(H41/12,-2)</f>
        <v>94200</v>
      </c>
      <c r="J41" s="207">
        <f>IF(職員設定用!$B$5*$C41*100+職員設定用!$B$7*J$3+職員設定用!$B$8&gt;=職員設定用!$B$10,職員設定用!$B$10,職員設定用!$B$5*$C41*100+職員設定用!$B$7*J$3+職員設定用!$B$8)
+IF(職員設定用!$C$5*$C41*100+職員設定用!$C$7*J$3+職員設定用!$C$8&gt;=職員設定用!$C$10,職員設定用!$C$10,職員設定用!$C$5*$C41*100+職員設定用!$C$7*J$3+職員設定用!$C$8)
+IF(職員設定用!$D$5*$C41*100+職員設定用!$D$7*J$3+職員設定用!$D$8&gt;=職員設定用!$D$10,職員設定用!$D$10,職員設定用!$D$5*$C41*100+職員設定用!$D$7*J$3+職員設定用!$D$8)
+IF(職員設定用!$E$5*$C41*100+職員設定用!$E$7*J$3+職員設定用!$E$8+職員設定用!$E$9*J$3&gt;=職員設定用!$E$10,職員設定用!$E$10,職員設定用!$E$5*$C41*100+職員設定用!$E$7*J$3+職員設定用!$E$8+職員設定用!$E$9*J$3)</f>
        <v>1130000</v>
      </c>
      <c r="K41" s="215">
        <f t="shared" ref="K41" si="282">ROUNDUP(J41/12,-2)</f>
        <v>94200</v>
      </c>
      <c r="L41" s="207">
        <f>IF(職員設定用!$B$5*$C41*100+職員設定用!$B$7*L$3+職員設定用!$B$8&gt;=職員設定用!$B$10,職員設定用!$B$10,職員設定用!$B$5*$C41*100+職員設定用!$B$7*L$3+職員設定用!$B$8)
+IF(職員設定用!$C$5*$C41*100+職員設定用!$C$7*L$3+職員設定用!$C$8&gt;=職員設定用!$C$10,職員設定用!$C$10,職員設定用!$C$5*$C41*100+職員設定用!$C$7*L$3+職員設定用!$C$8)
+IF(職員設定用!$D$5*$C41*100+職員設定用!$D$7*L$3+職員設定用!$D$8&gt;=職員設定用!$D$10,職員設定用!$D$10,職員設定用!$D$5*$C41*100+職員設定用!$D$7*L$3+職員設定用!$D$8)
+IF(職員設定用!$E$5*$C41*100+職員設定用!$E$7*L$3+職員設定用!$E$8+職員設定用!$E$9*L$3&gt;=職員設定用!$E$10,職員設定用!$E$10,職員設定用!$E$5*$C41*100+職員設定用!$E$7*L$3+職員設定用!$E$8+職員設定用!$E$9*L$3)</f>
        <v>1130000</v>
      </c>
      <c r="M41" s="215">
        <f t="shared" ref="M41" si="283">ROUNDUP(L41/12,-2)</f>
        <v>94200</v>
      </c>
      <c r="N41" s="207">
        <f>IF(職員設定用!$B$5*$C41*100+職員設定用!$B$7*N$3+職員設定用!$B$8&gt;=職員設定用!$B$10,職員設定用!$B$10,職員設定用!$B$5*$C41*100+職員設定用!$B$7*N$3+職員設定用!$B$8)
+IF(職員設定用!$C$5*$C41*100+職員設定用!$C$7*N$3+職員設定用!$C$8&gt;=職員設定用!$C$10,職員設定用!$C$10,職員設定用!$C$5*$C41*100+職員設定用!$C$7*N$3+職員設定用!$C$8)
+IF(職員設定用!$D$5*$C41*100+職員設定用!$D$7*N$3+職員設定用!$D$8&gt;=職員設定用!$D$10,職員設定用!$D$10,職員設定用!$D$5*$C41*100+職員設定用!$D$7*N$3+職員設定用!$D$8)
+IF(職員設定用!$E$5*$C41*100+職員設定用!$E$7*N$3+職員設定用!$E$8+職員設定用!$E$9*N$3&gt;=職員設定用!$E$10,職員設定用!$E$10,職員設定用!$E$5*$C41*100+職員設定用!$E$7*N$3+職員設定用!$E$8+職員設定用!$E$9*N$3)</f>
        <v>1130000</v>
      </c>
      <c r="O41" s="215">
        <f t="shared" ref="O41" si="284">ROUNDUP(N41/12,-2)</f>
        <v>94200</v>
      </c>
      <c r="P41" s="207">
        <f>IF(職員設定用!$B$5*$C41*100+職員設定用!$B$7*P$3+職員設定用!$B$8&gt;=職員設定用!$B$10,職員設定用!$B$10,職員設定用!$B$5*$C41*100+職員設定用!$B$7*P$3+職員設定用!$B$8)
+IF(職員設定用!$C$5*$C41*100+職員設定用!$C$7*P$3+職員設定用!$C$8&gt;=職員設定用!$C$10,職員設定用!$C$10,職員設定用!$C$5*$C41*100+職員設定用!$C$7*P$3+職員設定用!$C$8)
+IF(職員設定用!$D$5*$C41*100+職員設定用!$D$7*P$3+職員設定用!$D$8&gt;=職員設定用!$D$10,職員設定用!$D$10,職員設定用!$D$5*$C41*100+職員設定用!$D$7*P$3+職員設定用!$D$8)
+IF(職員設定用!$E$5*$C41*100+職員設定用!$E$7*P$3+職員設定用!$E$8+職員設定用!$E$9*P$3&gt;=職員設定用!$E$10,職員設定用!$E$10,職員設定用!$E$5*$C41*100+職員設定用!$E$7*P$3+職員設定用!$E$8+職員設定用!$E$9*P$3)</f>
        <v>1130000</v>
      </c>
      <c r="Q41" s="215">
        <f t="shared" ref="Q41" si="285">ROUNDUP(P41/12,-2)</f>
        <v>94200</v>
      </c>
      <c r="R41" s="207">
        <f>IF(職員設定用!$B$5*$C41*100+職員設定用!$B$7*R$3+職員設定用!$B$8&gt;=職員設定用!$B$10,職員設定用!$B$10,職員設定用!$B$5*$C41*100+職員設定用!$B$7*R$3+職員設定用!$B$8)
+IF(職員設定用!$C$5*$C41*100+職員設定用!$C$7*R$3+職員設定用!$C$8&gt;=職員設定用!$C$10,職員設定用!$C$10,職員設定用!$C$5*$C41*100+職員設定用!$C$7*R$3+職員設定用!$C$8)
+IF(職員設定用!$D$5*$C41*100+職員設定用!$D$7*R$3+職員設定用!$D$8&gt;=職員設定用!$D$10,職員設定用!$D$10,職員設定用!$D$5*$C41*100+職員設定用!$D$7*R$3+職員設定用!$D$8)
+IF(職員設定用!$E$5*$C41*100+職員設定用!$E$7*R$3+職員設定用!$E$8+職員設定用!$E$9*R$3&gt;=職員設定用!$E$10,職員設定用!$E$10,職員設定用!$E$5*$C41*100+職員設定用!$E$7*R$3+職員設定用!$E$8+職員設定用!$E$9*R$3)</f>
        <v>1130000</v>
      </c>
      <c r="S41" s="215">
        <f t="shared" ref="S41" si="286">ROUNDUP(R41/12,-2)</f>
        <v>94200</v>
      </c>
      <c r="T41" s="207">
        <f>IF(職員設定用!$B$5*$C41*100+職員設定用!$B$7*T$3+職員設定用!$B$8&gt;=職員設定用!$B$10,職員設定用!$B$10,職員設定用!$B$5*$C41*100+職員設定用!$B$7*T$3+職員設定用!$B$8)
+IF(職員設定用!$C$5*$C41*100+職員設定用!$C$7*T$3+職員設定用!$C$8&gt;=職員設定用!$C$10,職員設定用!$C$10,職員設定用!$C$5*$C41*100+職員設定用!$C$7*T$3+職員設定用!$C$8)
+IF(職員設定用!$D$5*$C41*100+職員設定用!$D$7*T$3+職員設定用!$D$8&gt;=職員設定用!$D$10,職員設定用!$D$10,職員設定用!$D$5*$C41*100+職員設定用!$D$7*T$3+職員設定用!$D$8)
+IF(職員設定用!$E$5*$C41*100+職員設定用!$E$7*T$3+職員設定用!$E$8+職員設定用!$E$9*T$3&gt;=職員設定用!$E$10,職員設定用!$E$10,職員設定用!$E$5*$C41*100+職員設定用!$E$7*T$3+職員設定用!$E$8+職員設定用!$E$9*T$3)</f>
        <v>1130000</v>
      </c>
      <c r="U41" s="215">
        <f t="shared" ref="U41" si="287">ROUNDUP(T41/12,-2)</f>
        <v>94200</v>
      </c>
      <c r="V41" s="207">
        <f>IF(職員設定用!$B$5*$C41*100+職員設定用!$B$7*V$3+職員設定用!$B$8&gt;=職員設定用!$B$10,職員設定用!$B$10,職員設定用!$B$5*$C41*100+職員設定用!$B$7*V$3+職員設定用!$B$8)
+IF(職員設定用!$C$5*$C41*100+職員設定用!$C$7*V$3+職員設定用!$C$8&gt;=職員設定用!$C$10,職員設定用!$C$10,職員設定用!$C$5*$C41*100+職員設定用!$C$7*V$3+職員設定用!$C$8)
+IF(職員設定用!$D$5*$C41*100+職員設定用!$D$7*V$3+職員設定用!$D$8&gt;=職員設定用!$D$10,職員設定用!$D$10,職員設定用!$D$5*$C41*100+職員設定用!$D$7*V$3+職員設定用!$D$8)
+IF(職員設定用!$E$5*$C41*100+職員設定用!$E$7*V$3+職員設定用!$E$8+職員設定用!$E$9*V$3&gt;=職員設定用!$E$10,職員設定用!$E$10,職員設定用!$E$5*$C41*100+職員設定用!$E$7*V$3+職員設定用!$E$8+職員設定用!$E$9*V$3)</f>
        <v>1130000</v>
      </c>
      <c r="W41" s="215">
        <f t="shared" ref="W41" si="288">ROUNDUP(V41/12,-2)</f>
        <v>94200</v>
      </c>
    </row>
    <row r="42" spans="2:23" ht="22.5" customHeight="1">
      <c r="B42" s="212">
        <v>1850</v>
      </c>
      <c r="C42" s="218">
        <f>IF(B42-職員設定用!$B$19/10000&gt;0,B42-職員設定用!$B$19/10000,0)</f>
        <v>1807</v>
      </c>
      <c r="D42" s="207">
        <f>IF(職員設定用!$B$5*$C42*100+職員設定用!$B$7*D$3+職員設定用!$B$8&gt;=職員設定用!$B$10,職員設定用!$B$10,職員設定用!$B$5*$C42*100+職員設定用!$B$7*D$3+職員設定用!$B$8)
+IF(職員設定用!$C$5*$C42*100+職員設定用!$C$7*D$3+職員設定用!$C$8&gt;=職員設定用!$C$10,職員設定用!$C$10,職員設定用!$C$5*$C42*100+職員設定用!$C$7*D$3+職員設定用!$C$8)
+IF(職員設定用!$D$5*$C42*100+職員設定用!$D$7*D$3+職員設定用!$D$8&gt;=職員設定用!$D$10,職員設定用!$D$10,職員設定用!$D$5*$C42*100+職員設定用!$D$7*D$3+職員設定用!$D$8)
+IF(職員設定用!$E$5*$C42*100+職員設定用!$E$7*D$3+職員設定用!$E$8+職員設定用!$E$9*D$3&gt;=職員設定用!$E$10,職員設定用!$E$10,職員設定用!$E$5*$C42*100+職員設定用!$E$7*D$3+職員設定用!$E$8+職員設定用!$E$9*D$3)</f>
        <v>1130000</v>
      </c>
      <c r="E42" s="215">
        <f t="shared" si="0"/>
        <v>94200</v>
      </c>
      <c r="F42" s="207">
        <f>IF(職員設定用!$B$5*$C42*100+職員設定用!$B$7*F$3+職員設定用!$B$8&gt;=職員設定用!$B$10,職員設定用!$B$10,職員設定用!$B$5*$C42*100+職員設定用!$B$7*F$3+職員設定用!$B$8)
+IF(職員設定用!$C$5*$C42*100+職員設定用!$C$7*F$3+職員設定用!$C$8&gt;=職員設定用!$C$10,職員設定用!$C$10,職員設定用!$C$5*$C42*100+職員設定用!$C$7*F$3+職員設定用!$C$8)
+IF(職員設定用!$D$5*$C42*100+職員設定用!$D$7*F$3+職員設定用!$D$8&gt;=職員設定用!$D$10,職員設定用!$D$10,職員設定用!$D$5*$C42*100+職員設定用!$D$7*F$3+職員設定用!$D$8)
+IF(職員設定用!$E$5*$C42*100+職員設定用!$E$7*F$3+職員設定用!$E$8+職員設定用!$E$9*F$3&gt;=職員設定用!$E$10,職員設定用!$E$10,職員設定用!$E$5*$C42*100+職員設定用!$E$7*F$3+職員設定用!$E$8+職員設定用!$E$9*F$3)</f>
        <v>1130000</v>
      </c>
      <c r="G42" s="215">
        <f t="shared" si="0"/>
        <v>94200</v>
      </c>
      <c r="H42" s="207">
        <f>IF(職員設定用!$B$5*$C42*100+職員設定用!$B$7*H$3+職員設定用!$B$8&gt;=職員設定用!$B$10,職員設定用!$B$10,職員設定用!$B$5*$C42*100+職員設定用!$B$7*H$3+職員設定用!$B$8)
+IF(職員設定用!$C$5*$C42*100+職員設定用!$C$7*H$3+職員設定用!$C$8&gt;=職員設定用!$C$10,職員設定用!$C$10,職員設定用!$C$5*$C42*100+職員設定用!$C$7*H$3+職員設定用!$C$8)
+IF(職員設定用!$D$5*$C42*100+職員設定用!$D$7*H$3+職員設定用!$D$8&gt;=職員設定用!$D$10,職員設定用!$D$10,職員設定用!$D$5*$C42*100+職員設定用!$D$7*H$3+職員設定用!$D$8)
+IF(職員設定用!$E$5*$C42*100+職員設定用!$E$7*H$3+職員設定用!$E$8+職員設定用!$E$9*H$3&gt;=職員設定用!$E$10,職員設定用!$E$10,職員設定用!$E$5*$C42*100+職員設定用!$E$7*H$3+職員設定用!$E$8+職員設定用!$E$9*H$3)</f>
        <v>1130000</v>
      </c>
      <c r="I42" s="215">
        <f t="shared" ref="I42" si="289">ROUNDUP(H42/12,-2)</f>
        <v>94200</v>
      </c>
      <c r="J42" s="207">
        <f>IF(職員設定用!$B$5*$C42*100+職員設定用!$B$7*J$3+職員設定用!$B$8&gt;=職員設定用!$B$10,職員設定用!$B$10,職員設定用!$B$5*$C42*100+職員設定用!$B$7*J$3+職員設定用!$B$8)
+IF(職員設定用!$C$5*$C42*100+職員設定用!$C$7*J$3+職員設定用!$C$8&gt;=職員設定用!$C$10,職員設定用!$C$10,職員設定用!$C$5*$C42*100+職員設定用!$C$7*J$3+職員設定用!$C$8)
+IF(職員設定用!$D$5*$C42*100+職員設定用!$D$7*J$3+職員設定用!$D$8&gt;=職員設定用!$D$10,職員設定用!$D$10,職員設定用!$D$5*$C42*100+職員設定用!$D$7*J$3+職員設定用!$D$8)
+IF(職員設定用!$E$5*$C42*100+職員設定用!$E$7*J$3+職員設定用!$E$8+職員設定用!$E$9*J$3&gt;=職員設定用!$E$10,職員設定用!$E$10,職員設定用!$E$5*$C42*100+職員設定用!$E$7*J$3+職員設定用!$E$8+職員設定用!$E$9*J$3)</f>
        <v>1130000</v>
      </c>
      <c r="K42" s="215">
        <f t="shared" ref="K42" si="290">ROUNDUP(J42/12,-2)</f>
        <v>94200</v>
      </c>
      <c r="L42" s="207">
        <f>IF(職員設定用!$B$5*$C42*100+職員設定用!$B$7*L$3+職員設定用!$B$8&gt;=職員設定用!$B$10,職員設定用!$B$10,職員設定用!$B$5*$C42*100+職員設定用!$B$7*L$3+職員設定用!$B$8)
+IF(職員設定用!$C$5*$C42*100+職員設定用!$C$7*L$3+職員設定用!$C$8&gt;=職員設定用!$C$10,職員設定用!$C$10,職員設定用!$C$5*$C42*100+職員設定用!$C$7*L$3+職員設定用!$C$8)
+IF(職員設定用!$D$5*$C42*100+職員設定用!$D$7*L$3+職員設定用!$D$8&gt;=職員設定用!$D$10,職員設定用!$D$10,職員設定用!$D$5*$C42*100+職員設定用!$D$7*L$3+職員設定用!$D$8)
+IF(職員設定用!$E$5*$C42*100+職員設定用!$E$7*L$3+職員設定用!$E$8+職員設定用!$E$9*L$3&gt;=職員設定用!$E$10,職員設定用!$E$10,職員設定用!$E$5*$C42*100+職員設定用!$E$7*L$3+職員設定用!$E$8+職員設定用!$E$9*L$3)</f>
        <v>1130000</v>
      </c>
      <c r="M42" s="215">
        <f t="shared" ref="M42" si="291">ROUNDUP(L42/12,-2)</f>
        <v>94200</v>
      </c>
      <c r="N42" s="207">
        <f>IF(職員設定用!$B$5*$C42*100+職員設定用!$B$7*N$3+職員設定用!$B$8&gt;=職員設定用!$B$10,職員設定用!$B$10,職員設定用!$B$5*$C42*100+職員設定用!$B$7*N$3+職員設定用!$B$8)
+IF(職員設定用!$C$5*$C42*100+職員設定用!$C$7*N$3+職員設定用!$C$8&gt;=職員設定用!$C$10,職員設定用!$C$10,職員設定用!$C$5*$C42*100+職員設定用!$C$7*N$3+職員設定用!$C$8)
+IF(職員設定用!$D$5*$C42*100+職員設定用!$D$7*N$3+職員設定用!$D$8&gt;=職員設定用!$D$10,職員設定用!$D$10,職員設定用!$D$5*$C42*100+職員設定用!$D$7*N$3+職員設定用!$D$8)
+IF(職員設定用!$E$5*$C42*100+職員設定用!$E$7*N$3+職員設定用!$E$8+職員設定用!$E$9*N$3&gt;=職員設定用!$E$10,職員設定用!$E$10,職員設定用!$E$5*$C42*100+職員設定用!$E$7*N$3+職員設定用!$E$8+職員設定用!$E$9*N$3)</f>
        <v>1130000</v>
      </c>
      <c r="O42" s="215">
        <f t="shared" ref="O42" si="292">ROUNDUP(N42/12,-2)</f>
        <v>94200</v>
      </c>
      <c r="P42" s="207">
        <f>IF(職員設定用!$B$5*$C42*100+職員設定用!$B$7*P$3+職員設定用!$B$8&gt;=職員設定用!$B$10,職員設定用!$B$10,職員設定用!$B$5*$C42*100+職員設定用!$B$7*P$3+職員設定用!$B$8)
+IF(職員設定用!$C$5*$C42*100+職員設定用!$C$7*P$3+職員設定用!$C$8&gt;=職員設定用!$C$10,職員設定用!$C$10,職員設定用!$C$5*$C42*100+職員設定用!$C$7*P$3+職員設定用!$C$8)
+IF(職員設定用!$D$5*$C42*100+職員設定用!$D$7*P$3+職員設定用!$D$8&gt;=職員設定用!$D$10,職員設定用!$D$10,職員設定用!$D$5*$C42*100+職員設定用!$D$7*P$3+職員設定用!$D$8)
+IF(職員設定用!$E$5*$C42*100+職員設定用!$E$7*P$3+職員設定用!$E$8+職員設定用!$E$9*P$3&gt;=職員設定用!$E$10,職員設定用!$E$10,職員設定用!$E$5*$C42*100+職員設定用!$E$7*P$3+職員設定用!$E$8+職員設定用!$E$9*P$3)</f>
        <v>1130000</v>
      </c>
      <c r="Q42" s="215">
        <f t="shared" ref="Q42" si="293">ROUNDUP(P42/12,-2)</f>
        <v>94200</v>
      </c>
      <c r="R42" s="207">
        <f>IF(職員設定用!$B$5*$C42*100+職員設定用!$B$7*R$3+職員設定用!$B$8&gt;=職員設定用!$B$10,職員設定用!$B$10,職員設定用!$B$5*$C42*100+職員設定用!$B$7*R$3+職員設定用!$B$8)
+IF(職員設定用!$C$5*$C42*100+職員設定用!$C$7*R$3+職員設定用!$C$8&gt;=職員設定用!$C$10,職員設定用!$C$10,職員設定用!$C$5*$C42*100+職員設定用!$C$7*R$3+職員設定用!$C$8)
+IF(職員設定用!$D$5*$C42*100+職員設定用!$D$7*R$3+職員設定用!$D$8&gt;=職員設定用!$D$10,職員設定用!$D$10,職員設定用!$D$5*$C42*100+職員設定用!$D$7*R$3+職員設定用!$D$8)
+IF(職員設定用!$E$5*$C42*100+職員設定用!$E$7*R$3+職員設定用!$E$8+職員設定用!$E$9*R$3&gt;=職員設定用!$E$10,職員設定用!$E$10,職員設定用!$E$5*$C42*100+職員設定用!$E$7*R$3+職員設定用!$E$8+職員設定用!$E$9*R$3)</f>
        <v>1130000</v>
      </c>
      <c r="S42" s="215">
        <f t="shared" ref="S42" si="294">ROUNDUP(R42/12,-2)</f>
        <v>94200</v>
      </c>
      <c r="T42" s="207">
        <f>IF(職員設定用!$B$5*$C42*100+職員設定用!$B$7*T$3+職員設定用!$B$8&gt;=職員設定用!$B$10,職員設定用!$B$10,職員設定用!$B$5*$C42*100+職員設定用!$B$7*T$3+職員設定用!$B$8)
+IF(職員設定用!$C$5*$C42*100+職員設定用!$C$7*T$3+職員設定用!$C$8&gt;=職員設定用!$C$10,職員設定用!$C$10,職員設定用!$C$5*$C42*100+職員設定用!$C$7*T$3+職員設定用!$C$8)
+IF(職員設定用!$D$5*$C42*100+職員設定用!$D$7*T$3+職員設定用!$D$8&gt;=職員設定用!$D$10,職員設定用!$D$10,職員設定用!$D$5*$C42*100+職員設定用!$D$7*T$3+職員設定用!$D$8)
+IF(職員設定用!$E$5*$C42*100+職員設定用!$E$7*T$3+職員設定用!$E$8+職員設定用!$E$9*T$3&gt;=職員設定用!$E$10,職員設定用!$E$10,職員設定用!$E$5*$C42*100+職員設定用!$E$7*T$3+職員設定用!$E$8+職員設定用!$E$9*T$3)</f>
        <v>1130000</v>
      </c>
      <c r="U42" s="215">
        <f t="shared" ref="U42" si="295">ROUNDUP(T42/12,-2)</f>
        <v>94200</v>
      </c>
      <c r="V42" s="207">
        <f>IF(職員設定用!$B$5*$C42*100+職員設定用!$B$7*V$3+職員設定用!$B$8&gt;=職員設定用!$B$10,職員設定用!$B$10,職員設定用!$B$5*$C42*100+職員設定用!$B$7*V$3+職員設定用!$B$8)
+IF(職員設定用!$C$5*$C42*100+職員設定用!$C$7*V$3+職員設定用!$C$8&gt;=職員設定用!$C$10,職員設定用!$C$10,職員設定用!$C$5*$C42*100+職員設定用!$C$7*V$3+職員設定用!$C$8)
+IF(職員設定用!$D$5*$C42*100+職員設定用!$D$7*V$3+職員設定用!$D$8&gt;=職員設定用!$D$10,職員設定用!$D$10,職員設定用!$D$5*$C42*100+職員設定用!$D$7*V$3+職員設定用!$D$8)
+IF(職員設定用!$E$5*$C42*100+職員設定用!$E$7*V$3+職員設定用!$E$8+職員設定用!$E$9*V$3&gt;=職員設定用!$E$10,職員設定用!$E$10,職員設定用!$E$5*$C42*100+職員設定用!$E$7*V$3+職員設定用!$E$8+職員設定用!$E$9*V$3)</f>
        <v>1130000</v>
      </c>
      <c r="W42" s="215">
        <f t="shared" ref="W42" si="296">ROUNDUP(V42/12,-2)</f>
        <v>94200</v>
      </c>
    </row>
    <row r="43" spans="2:23" ht="22.5" customHeight="1">
      <c r="B43" s="212">
        <v>1900</v>
      </c>
      <c r="C43" s="218">
        <f>IF(B43-職員設定用!$B$19/10000&gt;0,B43-職員設定用!$B$19/10000,0)</f>
        <v>1857</v>
      </c>
      <c r="D43" s="207">
        <f>IF(職員設定用!$B$5*$C43*100+職員設定用!$B$7*D$3+職員設定用!$B$8&gt;=職員設定用!$B$10,職員設定用!$B$10,職員設定用!$B$5*$C43*100+職員設定用!$B$7*D$3+職員設定用!$B$8)
+IF(職員設定用!$C$5*$C43*100+職員設定用!$C$7*D$3+職員設定用!$C$8&gt;=職員設定用!$C$10,職員設定用!$C$10,職員設定用!$C$5*$C43*100+職員設定用!$C$7*D$3+職員設定用!$C$8)
+IF(職員設定用!$D$5*$C43*100+職員設定用!$D$7*D$3+職員設定用!$D$8&gt;=職員設定用!$D$10,職員設定用!$D$10,職員設定用!$D$5*$C43*100+職員設定用!$D$7*D$3+職員設定用!$D$8)
+IF(職員設定用!$E$5*$C43*100+職員設定用!$E$7*D$3+職員設定用!$E$8+職員設定用!$E$9*D$3&gt;=職員設定用!$E$10,職員設定用!$E$10,職員設定用!$E$5*$C43*100+職員設定用!$E$7*D$3+職員設定用!$E$8+職員設定用!$E$9*D$3)</f>
        <v>1130000</v>
      </c>
      <c r="E43" s="215">
        <f t="shared" si="0"/>
        <v>94200</v>
      </c>
      <c r="F43" s="207">
        <f>IF(職員設定用!$B$5*$C43*100+職員設定用!$B$7*F$3+職員設定用!$B$8&gt;=職員設定用!$B$10,職員設定用!$B$10,職員設定用!$B$5*$C43*100+職員設定用!$B$7*F$3+職員設定用!$B$8)
+IF(職員設定用!$C$5*$C43*100+職員設定用!$C$7*F$3+職員設定用!$C$8&gt;=職員設定用!$C$10,職員設定用!$C$10,職員設定用!$C$5*$C43*100+職員設定用!$C$7*F$3+職員設定用!$C$8)
+IF(職員設定用!$D$5*$C43*100+職員設定用!$D$7*F$3+職員設定用!$D$8&gt;=職員設定用!$D$10,職員設定用!$D$10,職員設定用!$D$5*$C43*100+職員設定用!$D$7*F$3+職員設定用!$D$8)
+IF(職員設定用!$E$5*$C43*100+職員設定用!$E$7*F$3+職員設定用!$E$8+職員設定用!$E$9*F$3&gt;=職員設定用!$E$10,職員設定用!$E$10,職員設定用!$E$5*$C43*100+職員設定用!$E$7*F$3+職員設定用!$E$8+職員設定用!$E$9*F$3)</f>
        <v>1130000</v>
      </c>
      <c r="G43" s="215">
        <f t="shared" si="0"/>
        <v>94200</v>
      </c>
      <c r="H43" s="207">
        <f>IF(職員設定用!$B$5*$C43*100+職員設定用!$B$7*H$3+職員設定用!$B$8&gt;=職員設定用!$B$10,職員設定用!$B$10,職員設定用!$B$5*$C43*100+職員設定用!$B$7*H$3+職員設定用!$B$8)
+IF(職員設定用!$C$5*$C43*100+職員設定用!$C$7*H$3+職員設定用!$C$8&gt;=職員設定用!$C$10,職員設定用!$C$10,職員設定用!$C$5*$C43*100+職員設定用!$C$7*H$3+職員設定用!$C$8)
+IF(職員設定用!$D$5*$C43*100+職員設定用!$D$7*H$3+職員設定用!$D$8&gt;=職員設定用!$D$10,職員設定用!$D$10,職員設定用!$D$5*$C43*100+職員設定用!$D$7*H$3+職員設定用!$D$8)
+IF(職員設定用!$E$5*$C43*100+職員設定用!$E$7*H$3+職員設定用!$E$8+職員設定用!$E$9*H$3&gt;=職員設定用!$E$10,職員設定用!$E$10,職員設定用!$E$5*$C43*100+職員設定用!$E$7*H$3+職員設定用!$E$8+職員設定用!$E$9*H$3)</f>
        <v>1130000</v>
      </c>
      <c r="I43" s="215">
        <f t="shared" ref="I43" si="297">ROUNDUP(H43/12,-2)</f>
        <v>94200</v>
      </c>
      <c r="J43" s="207">
        <f>IF(職員設定用!$B$5*$C43*100+職員設定用!$B$7*J$3+職員設定用!$B$8&gt;=職員設定用!$B$10,職員設定用!$B$10,職員設定用!$B$5*$C43*100+職員設定用!$B$7*J$3+職員設定用!$B$8)
+IF(職員設定用!$C$5*$C43*100+職員設定用!$C$7*J$3+職員設定用!$C$8&gt;=職員設定用!$C$10,職員設定用!$C$10,職員設定用!$C$5*$C43*100+職員設定用!$C$7*J$3+職員設定用!$C$8)
+IF(職員設定用!$D$5*$C43*100+職員設定用!$D$7*J$3+職員設定用!$D$8&gt;=職員設定用!$D$10,職員設定用!$D$10,職員設定用!$D$5*$C43*100+職員設定用!$D$7*J$3+職員設定用!$D$8)
+IF(職員設定用!$E$5*$C43*100+職員設定用!$E$7*J$3+職員設定用!$E$8+職員設定用!$E$9*J$3&gt;=職員設定用!$E$10,職員設定用!$E$10,職員設定用!$E$5*$C43*100+職員設定用!$E$7*J$3+職員設定用!$E$8+職員設定用!$E$9*J$3)</f>
        <v>1130000</v>
      </c>
      <c r="K43" s="215">
        <f t="shared" ref="K43" si="298">ROUNDUP(J43/12,-2)</f>
        <v>94200</v>
      </c>
      <c r="L43" s="207">
        <f>IF(職員設定用!$B$5*$C43*100+職員設定用!$B$7*L$3+職員設定用!$B$8&gt;=職員設定用!$B$10,職員設定用!$B$10,職員設定用!$B$5*$C43*100+職員設定用!$B$7*L$3+職員設定用!$B$8)
+IF(職員設定用!$C$5*$C43*100+職員設定用!$C$7*L$3+職員設定用!$C$8&gt;=職員設定用!$C$10,職員設定用!$C$10,職員設定用!$C$5*$C43*100+職員設定用!$C$7*L$3+職員設定用!$C$8)
+IF(職員設定用!$D$5*$C43*100+職員設定用!$D$7*L$3+職員設定用!$D$8&gt;=職員設定用!$D$10,職員設定用!$D$10,職員設定用!$D$5*$C43*100+職員設定用!$D$7*L$3+職員設定用!$D$8)
+IF(職員設定用!$E$5*$C43*100+職員設定用!$E$7*L$3+職員設定用!$E$8+職員設定用!$E$9*L$3&gt;=職員設定用!$E$10,職員設定用!$E$10,職員設定用!$E$5*$C43*100+職員設定用!$E$7*L$3+職員設定用!$E$8+職員設定用!$E$9*L$3)</f>
        <v>1130000</v>
      </c>
      <c r="M43" s="215">
        <f t="shared" ref="M43" si="299">ROUNDUP(L43/12,-2)</f>
        <v>94200</v>
      </c>
      <c r="N43" s="207">
        <f>IF(職員設定用!$B$5*$C43*100+職員設定用!$B$7*N$3+職員設定用!$B$8&gt;=職員設定用!$B$10,職員設定用!$B$10,職員設定用!$B$5*$C43*100+職員設定用!$B$7*N$3+職員設定用!$B$8)
+IF(職員設定用!$C$5*$C43*100+職員設定用!$C$7*N$3+職員設定用!$C$8&gt;=職員設定用!$C$10,職員設定用!$C$10,職員設定用!$C$5*$C43*100+職員設定用!$C$7*N$3+職員設定用!$C$8)
+IF(職員設定用!$D$5*$C43*100+職員設定用!$D$7*N$3+職員設定用!$D$8&gt;=職員設定用!$D$10,職員設定用!$D$10,職員設定用!$D$5*$C43*100+職員設定用!$D$7*N$3+職員設定用!$D$8)
+IF(職員設定用!$E$5*$C43*100+職員設定用!$E$7*N$3+職員設定用!$E$8+職員設定用!$E$9*N$3&gt;=職員設定用!$E$10,職員設定用!$E$10,職員設定用!$E$5*$C43*100+職員設定用!$E$7*N$3+職員設定用!$E$8+職員設定用!$E$9*N$3)</f>
        <v>1130000</v>
      </c>
      <c r="O43" s="215">
        <f t="shared" ref="O43" si="300">ROUNDUP(N43/12,-2)</f>
        <v>94200</v>
      </c>
      <c r="P43" s="207">
        <f>IF(職員設定用!$B$5*$C43*100+職員設定用!$B$7*P$3+職員設定用!$B$8&gt;=職員設定用!$B$10,職員設定用!$B$10,職員設定用!$B$5*$C43*100+職員設定用!$B$7*P$3+職員設定用!$B$8)
+IF(職員設定用!$C$5*$C43*100+職員設定用!$C$7*P$3+職員設定用!$C$8&gt;=職員設定用!$C$10,職員設定用!$C$10,職員設定用!$C$5*$C43*100+職員設定用!$C$7*P$3+職員設定用!$C$8)
+IF(職員設定用!$D$5*$C43*100+職員設定用!$D$7*P$3+職員設定用!$D$8&gt;=職員設定用!$D$10,職員設定用!$D$10,職員設定用!$D$5*$C43*100+職員設定用!$D$7*P$3+職員設定用!$D$8)
+IF(職員設定用!$E$5*$C43*100+職員設定用!$E$7*P$3+職員設定用!$E$8+職員設定用!$E$9*P$3&gt;=職員設定用!$E$10,職員設定用!$E$10,職員設定用!$E$5*$C43*100+職員設定用!$E$7*P$3+職員設定用!$E$8+職員設定用!$E$9*P$3)</f>
        <v>1130000</v>
      </c>
      <c r="Q43" s="215">
        <f t="shared" ref="Q43" si="301">ROUNDUP(P43/12,-2)</f>
        <v>94200</v>
      </c>
      <c r="R43" s="207">
        <f>IF(職員設定用!$B$5*$C43*100+職員設定用!$B$7*R$3+職員設定用!$B$8&gt;=職員設定用!$B$10,職員設定用!$B$10,職員設定用!$B$5*$C43*100+職員設定用!$B$7*R$3+職員設定用!$B$8)
+IF(職員設定用!$C$5*$C43*100+職員設定用!$C$7*R$3+職員設定用!$C$8&gt;=職員設定用!$C$10,職員設定用!$C$10,職員設定用!$C$5*$C43*100+職員設定用!$C$7*R$3+職員設定用!$C$8)
+IF(職員設定用!$D$5*$C43*100+職員設定用!$D$7*R$3+職員設定用!$D$8&gt;=職員設定用!$D$10,職員設定用!$D$10,職員設定用!$D$5*$C43*100+職員設定用!$D$7*R$3+職員設定用!$D$8)
+IF(職員設定用!$E$5*$C43*100+職員設定用!$E$7*R$3+職員設定用!$E$8+職員設定用!$E$9*R$3&gt;=職員設定用!$E$10,職員設定用!$E$10,職員設定用!$E$5*$C43*100+職員設定用!$E$7*R$3+職員設定用!$E$8+職員設定用!$E$9*R$3)</f>
        <v>1130000</v>
      </c>
      <c r="S43" s="215">
        <f t="shared" ref="S43" si="302">ROUNDUP(R43/12,-2)</f>
        <v>94200</v>
      </c>
      <c r="T43" s="207">
        <f>IF(職員設定用!$B$5*$C43*100+職員設定用!$B$7*T$3+職員設定用!$B$8&gt;=職員設定用!$B$10,職員設定用!$B$10,職員設定用!$B$5*$C43*100+職員設定用!$B$7*T$3+職員設定用!$B$8)
+IF(職員設定用!$C$5*$C43*100+職員設定用!$C$7*T$3+職員設定用!$C$8&gt;=職員設定用!$C$10,職員設定用!$C$10,職員設定用!$C$5*$C43*100+職員設定用!$C$7*T$3+職員設定用!$C$8)
+IF(職員設定用!$D$5*$C43*100+職員設定用!$D$7*T$3+職員設定用!$D$8&gt;=職員設定用!$D$10,職員設定用!$D$10,職員設定用!$D$5*$C43*100+職員設定用!$D$7*T$3+職員設定用!$D$8)
+IF(職員設定用!$E$5*$C43*100+職員設定用!$E$7*T$3+職員設定用!$E$8+職員設定用!$E$9*T$3&gt;=職員設定用!$E$10,職員設定用!$E$10,職員設定用!$E$5*$C43*100+職員設定用!$E$7*T$3+職員設定用!$E$8+職員設定用!$E$9*T$3)</f>
        <v>1130000</v>
      </c>
      <c r="U43" s="215">
        <f t="shared" ref="U43" si="303">ROUNDUP(T43/12,-2)</f>
        <v>94200</v>
      </c>
      <c r="V43" s="207">
        <f>IF(職員設定用!$B$5*$C43*100+職員設定用!$B$7*V$3+職員設定用!$B$8&gt;=職員設定用!$B$10,職員設定用!$B$10,職員設定用!$B$5*$C43*100+職員設定用!$B$7*V$3+職員設定用!$B$8)
+IF(職員設定用!$C$5*$C43*100+職員設定用!$C$7*V$3+職員設定用!$C$8&gt;=職員設定用!$C$10,職員設定用!$C$10,職員設定用!$C$5*$C43*100+職員設定用!$C$7*V$3+職員設定用!$C$8)
+IF(職員設定用!$D$5*$C43*100+職員設定用!$D$7*V$3+職員設定用!$D$8&gt;=職員設定用!$D$10,職員設定用!$D$10,職員設定用!$D$5*$C43*100+職員設定用!$D$7*V$3+職員設定用!$D$8)
+IF(職員設定用!$E$5*$C43*100+職員設定用!$E$7*V$3+職員設定用!$E$8+職員設定用!$E$9*V$3&gt;=職員設定用!$E$10,職員設定用!$E$10,職員設定用!$E$5*$C43*100+職員設定用!$E$7*V$3+職員設定用!$E$8+職員設定用!$E$9*V$3)</f>
        <v>1130000</v>
      </c>
      <c r="W43" s="215">
        <f t="shared" ref="W43" si="304">ROUNDUP(V43/12,-2)</f>
        <v>94200</v>
      </c>
    </row>
    <row r="44" spans="2:23" ht="22.5" customHeight="1">
      <c r="B44" s="212">
        <v>1950</v>
      </c>
      <c r="C44" s="218">
        <f>IF(B44-職員設定用!$B$19/10000&gt;0,B44-職員設定用!$B$19/10000,0)</f>
        <v>1907</v>
      </c>
      <c r="D44" s="207">
        <f>IF(職員設定用!$B$5*$C44*100+職員設定用!$B$7*D$3+職員設定用!$B$8&gt;=職員設定用!$B$10,職員設定用!$B$10,職員設定用!$B$5*$C44*100+職員設定用!$B$7*D$3+職員設定用!$B$8)
+IF(職員設定用!$C$5*$C44*100+職員設定用!$C$7*D$3+職員設定用!$C$8&gt;=職員設定用!$C$10,職員設定用!$C$10,職員設定用!$C$5*$C44*100+職員設定用!$C$7*D$3+職員設定用!$C$8)
+IF(職員設定用!$D$5*$C44*100+職員設定用!$D$7*D$3+職員設定用!$D$8&gt;=職員設定用!$D$10,職員設定用!$D$10,職員設定用!$D$5*$C44*100+職員設定用!$D$7*D$3+職員設定用!$D$8)
+IF(職員設定用!$E$5*$C44*100+職員設定用!$E$7*D$3+職員設定用!$E$8+職員設定用!$E$9*D$3&gt;=職員設定用!$E$10,職員設定用!$E$10,職員設定用!$E$5*$C44*100+職員設定用!$E$7*D$3+職員設定用!$E$8+職員設定用!$E$9*D$3)</f>
        <v>1130000</v>
      </c>
      <c r="E44" s="215">
        <f t="shared" si="0"/>
        <v>94200</v>
      </c>
      <c r="F44" s="207">
        <f>IF(職員設定用!$B$5*$C44*100+職員設定用!$B$7*F$3+職員設定用!$B$8&gt;=職員設定用!$B$10,職員設定用!$B$10,職員設定用!$B$5*$C44*100+職員設定用!$B$7*F$3+職員設定用!$B$8)
+IF(職員設定用!$C$5*$C44*100+職員設定用!$C$7*F$3+職員設定用!$C$8&gt;=職員設定用!$C$10,職員設定用!$C$10,職員設定用!$C$5*$C44*100+職員設定用!$C$7*F$3+職員設定用!$C$8)
+IF(職員設定用!$D$5*$C44*100+職員設定用!$D$7*F$3+職員設定用!$D$8&gt;=職員設定用!$D$10,職員設定用!$D$10,職員設定用!$D$5*$C44*100+職員設定用!$D$7*F$3+職員設定用!$D$8)
+IF(職員設定用!$E$5*$C44*100+職員設定用!$E$7*F$3+職員設定用!$E$8+職員設定用!$E$9*F$3&gt;=職員設定用!$E$10,職員設定用!$E$10,職員設定用!$E$5*$C44*100+職員設定用!$E$7*F$3+職員設定用!$E$8+職員設定用!$E$9*F$3)</f>
        <v>1130000</v>
      </c>
      <c r="G44" s="215">
        <f t="shared" si="0"/>
        <v>94200</v>
      </c>
      <c r="H44" s="207">
        <f>IF(職員設定用!$B$5*$C44*100+職員設定用!$B$7*H$3+職員設定用!$B$8&gt;=職員設定用!$B$10,職員設定用!$B$10,職員設定用!$B$5*$C44*100+職員設定用!$B$7*H$3+職員設定用!$B$8)
+IF(職員設定用!$C$5*$C44*100+職員設定用!$C$7*H$3+職員設定用!$C$8&gt;=職員設定用!$C$10,職員設定用!$C$10,職員設定用!$C$5*$C44*100+職員設定用!$C$7*H$3+職員設定用!$C$8)
+IF(職員設定用!$D$5*$C44*100+職員設定用!$D$7*H$3+職員設定用!$D$8&gt;=職員設定用!$D$10,職員設定用!$D$10,職員設定用!$D$5*$C44*100+職員設定用!$D$7*H$3+職員設定用!$D$8)
+IF(職員設定用!$E$5*$C44*100+職員設定用!$E$7*H$3+職員設定用!$E$8+職員設定用!$E$9*H$3&gt;=職員設定用!$E$10,職員設定用!$E$10,職員設定用!$E$5*$C44*100+職員設定用!$E$7*H$3+職員設定用!$E$8+職員設定用!$E$9*H$3)</f>
        <v>1130000</v>
      </c>
      <c r="I44" s="215">
        <f t="shared" ref="I44" si="305">ROUNDUP(H44/12,-2)</f>
        <v>94200</v>
      </c>
      <c r="J44" s="207">
        <f>IF(職員設定用!$B$5*$C44*100+職員設定用!$B$7*J$3+職員設定用!$B$8&gt;=職員設定用!$B$10,職員設定用!$B$10,職員設定用!$B$5*$C44*100+職員設定用!$B$7*J$3+職員設定用!$B$8)
+IF(職員設定用!$C$5*$C44*100+職員設定用!$C$7*J$3+職員設定用!$C$8&gt;=職員設定用!$C$10,職員設定用!$C$10,職員設定用!$C$5*$C44*100+職員設定用!$C$7*J$3+職員設定用!$C$8)
+IF(職員設定用!$D$5*$C44*100+職員設定用!$D$7*J$3+職員設定用!$D$8&gt;=職員設定用!$D$10,職員設定用!$D$10,職員設定用!$D$5*$C44*100+職員設定用!$D$7*J$3+職員設定用!$D$8)
+IF(職員設定用!$E$5*$C44*100+職員設定用!$E$7*J$3+職員設定用!$E$8+職員設定用!$E$9*J$3&gt;=職員設定用!$E$10,職員設定用!$E$10,職員設定用!$E$5*$C44*100+職員設定用!$E$7*J$3+職員設定用!$E$8+職員設定用!$E$9*J$3)</f>
        <v>1130000</v>
      </c>
      <c r="K44" s="215">
        <f t="shared" ref="K44" si="306">ROUNDUP(J44/12,-2)</f>
        <v>94200</v>
      </c>
      <c r="L44" s="207">
        <f>IF(職員設定用!$B$5*$C44*100+職員設定用!$B$7*L$3+職員設定用!$B$8&gt;=職員設定用!$B$10,職員設定用!$B$10,職員設定用!$B$5*$C44*100+職員設定用!$B$7*L$3+職員設定用!$B$8)
+IF(職員設定用!$C$5*$C44*100+職員設定用!$C$7*L$3+職員設定用!$C$8&gt;=職員設定用!$C$10,職員設定用!$C$10,職員設定用!$C$5*$C44*100+職員設定用!$C$7*L$3+職員設定用!$C$8)
+IF(職員設定用!$D$5*$C44*100+職員設定用!$D$7*L$3+職員設定用!$D$8&gt;=職員設定用!$D$10,職員設定用!$D$10,職員設定用!$D$5*$C44*100+職員設定用!$D$7*L$3+職員設定用!$D$8)
+IF(職員設定用!$E$5*$C44*100+職員設定用!$E$7*L$3+職員設定用!$E$8+職員設定用!$E$9*L$3&gt;=職員設定用!$E$10,職員設定用!$E$10,職員設定用!$E$5*$C44*100+職員設定用!$E$7*L$3+職員設定用!$E$8+職員設定用!$E$9*L$3)</f>
        <v>1130000</v>
      </c>
      <c r="M44" s="215">
        <f t="shared" ref="M44" si="307">ROUNDUP(L44/12,-2)</f>
        <v>94200</v>
      </c>
      <c r="N44" s="207">
        <f>IF(職員設定用!$B$5*$C44*100+職員設定用!$B$7*N$3+職員設定用!$B$8&gt;=職員設定用!$B$10,職員設定用!$B$10,職員設定用!$B$5*$C44*100+職員設定用!$B$7*N$3+職員設定用!$B$8)
+IF(職員設定用!$C$5*$C44*100+職員設定用!$C$7*N$3+職員設定用!$C$8&gt;=職員設定用!$C$10,職員設定用!$C$10,職員設定用!$C$5*$C44*100+職員設定用!$C$7*N$3+職員設定用!$C$8)
+IF(職員設定用!$D$5*$C44*100+職員設定用!$D$7*N$3+職員設定用!$D$8&gt;=職員設定用!$D$10,職員設定用!$D$10,職員設定用!$D$5*$C44*100+職員設定用!$D$7*N$3+職員設定用!$D$8)
+IF(職員設定用!$E$5*$C44*100+職員設定用!$E$7*N$3+職員設定用!$E$8+職員設定用!$E$9*N$3&gt;=職員設定用!$E$10,職員設定用!$E$10,職員設定用!$E$5*$C44*100+職員設定用!$E$7*N$3+職員設定用!$E$8+職員設定用!$E$9*N$3)</f>
        <v>1130000</v>
      </c>
      <c r="O44" s="215">
        <f t="shared" ref="O44" si="308">ROUNDUP(N44/12,-2)</f>
        <v>94200</v>
      </c>
      <c r="P44" s="207">
        <f>IF(職員設定用!$B$5*$C44*100+職員設定用!$B$7*P$3+職員設定用!$B$8&gt;=職員設定用!$B$10,職員設定用!$B$10,職員設定用!$B$5*$C44*100+職員設定用!$B$7*P$3+職員設定用!$B$8)
+IF(職員設定用!$C$5*$C44*100+職員設定用!$C$7*P$3+職員設定用!$C$8&gt;=職員設定用!$C$10,職員設定用!$C$10,職員設定用!$C$5*$C44*100+職員設定用!$C$7*P$3+職員設定用!$C$8)
+IF(職員設定用!$D$5*$C44*100+職員設定用!$D$7*P$3+職員設定用!$D$8&gt;=職員設定用!$D$10,職員設定用!$D$10,職員設定用!$D$5*$C44*100+職員設定用!$D$7*P$3+職員設定用!$D$8)
+IF(職員設定用!$E$5*$C44*100+職員設定用!$E$7*P$3+職員設定用!$E$8+職員設定用!$E$9*P$3&gt;=職員設定用!$E$10,職員設定用!$E$10,職員設定用!$E$5*$C44*100+職員設定用!$E$7*P$3+職員設定用!$E$8+職員設定用!$E$9*P$3)</f>
        <v>1130000</v>
      </c>
      <c r="Q44" s="215">
        <f t="shared" ref="Q44" si="309">ROUNDUP(P44/12,-2)</f>
        <v>94200</v>
      </c>
      <c r="R44" s="207">
        <f>IF(職員設定用!$B$5*$C44*100+職員設定用!$B$7*R$3+職員設定用!$B$8&gt;=職員設定用!$B$10,職員設定用!$B$10,職員設定用!$B$5*$C44*100+職員設定用!$B$7*R$3+職員設定用!$B$8)
+IF(職員設定用!$C$5*$C44*100+職員設定用!$C$7*R$3+職員設定用!$C$8&gt;=職員設定用!$C$10,職員設定用!$C$10,職員設定用!$C$5*$C44*100+職員設定用!$C$7*R$3+職員設定用!$C$8)
+IF(職員設定用!$D$5*$C44*100+職員設定用!$D$7*R$3+職員設定用!$D$8&gt;=職員設定用!$D$10,職員設定用!$D$10,職員設定用!$D$5*$C44*100+職員設定用!$D$7*R$3+職員設定用!$D$8)
+IF(職員設定用!$E$5*$C44*100+職員設定用!$E$7*R$3+職員設定用!$E$8+職員設定用!$E$9*R$3&gt;=職員設定用!$E$10,職員設定用!$E$10,職員設定用!$E$5*$C44*100+職員設定用!$E$7*R$3+職員設定用!$E$8+職員設定用!$E$9*R$3)</f>
        <v>1130000</v>
      </c>
      <c r="S44" s="215">
        <f t="shared" ref="S44" si="310">ROUNDUP(R44/12,-2)</f>
        <v>94200</v>
      </c>
      <c r="T44" s="207">
        <f>IF(職員設定用!$B$5*$C44*100+職員設定用!$B$7*T$3+職員設定用!$B$8&gt;=職員設定用!$B$10,職員設定用!$B$10,職員設定用!$B$5*$C44*100+職員設定用!$B$7*T$3+職員設定用!$B$8)
+IF(職員設定用!$C$5*$C44*100+職員設定用!$C$7*T$3+職員設定用!$C$8&gt;=職員設定用!$C$10,職員設定用!$C$10,職員設定用!$C$5*$C44*100+職員設定用!$C$7*T$3+職員設定用!$C$8)
+IF(職員設定用!$D$5*$C44*100+職員設定用!$D$7*T$3+職員設定用!$D$8&gt;=職員設定用!$D$10,職員設定用!$D$10,職員設定用!$D$5*$C44*100+職員設定用!$D$7*T$3+職員設定用!$D$8)
+IF(職員設定用!$E$5*$C44*100+職員設定用!$E$7*T$3+職員設定用!$E$8+職員設定用!$E$9*T$3&gt;=職員設定用!$E$10,職員設定用!$E$10,職員設定用!$E$5*$C44*100+職員設定用!$E$7*T$3+職員設定用!$E$8+職員設定用!$E$9*T$3)</f>
        <v>1130000</v>
      </c>
      <c r="U44" s="215">
        <f t="shared" ref="U44" si="311">ROUNDUP(T44/12,-2)</f>
        <v>94200</v>
      </c>
      <c r="V44" s="207">
        <f>IF(職員設定用!$B$5*$C44*100+職員設定用!$B$7*V$3+職員設定用!$B$8&gt;=職員設定用!$B$10,職員設定用!$B$10,職員設定用!$B$5*$C44*100+職員設定用!$B$7*V$3+職員設定用!$B$8)
+IF(職員設定用!$C$5*$C44*100+職員設定用!$C$7*V$3+職員設定用!$C$8&gt;=職員設定用!$C$10,職員設定用!$C$10,職員設定用!$C$5*$C44*100+職員設定用!$C$7*V$3+職員設定用!$C$8)
+IF(職員設定用!$D$5*$C44*100+職員設定用!$D$7*V$3+職員設定用!$D$8&gt;=職員設定用!$D$10,職員設定用!$D$10,職員設定用!$D$5*$C44*100+職員設定用!$D$7*V$3+職員設定用!$D$8)
+IF(職員設定用!$E$5*$C44*100+職員設定用!$E$7*V$3+職員設定用!$E$8+職員設定用!$E$9*V$3&gt;=職員設定用!$E$10,職員設定用!$E$10,職員設定用!$E$5*$C44*100+職員設定用!$E$7*V$3+職員設定用!$E$8+職員設定用!$E$9*V$3)</f>
        <v>1130000</v>
      </c>
      <c r="W44" s="215">
        <f t="shared" ref="W44" si="312">ROUNDUP(V44/12,-2)</f>
        <v>94200</v>
      </c>
    </row>
    <row r="45" spans="2:23" ht="22.5" customHeight="1">
      <c r="B45" s="212">
        <v>2000</v>
      </c>
      <c r="C45" s="218">
        <f>IF(B45-職員設定用!$B$19/10000&gt;0,B45-職員設定用!$B$19/10000,0)</f>
        <v>1957</v>
      </c>
      <c r="D45" s="207">
        <f>IF(職員設定用!$B$5*$C45*100+職員設定用!$B$7*D$3+職員設定用!$B$8&gt;=職員設定用!$B$10,職員設定用!$B$10,職員設定用!$B$5*$C45*100+職員設定用!$B$7*D$3+職員設定用!$B$8)
+IF(職員設定用!$C$5*$C45*100+職員設定用!$C$7*D$3+職員設定用!$C$8&gt;=職員設定用!$C$10,職員設定用!$C$10,職員設定用!$C$5*$C45*100+職員設定用!$C$7*D$3+職員設定用!$C$8)
+IF(職員設定用!$D$5*$C45*100+職員設定用!$D$7*D$3+職員設定用!$D$8&gt;=職員設定用!$D$10,職員設定用!$D$10,職員設定用!$D$5*$C45*100+職員設定用!$D$7*D$3+職員設定用!$D$8)
+IF(職員設定用!$E$5*$C45*100+職員設定用!$E$7*D$3+職員設定用!$E$8+職員設定用!$E$9*D$3&gt;=職員設定用!$E$10,職員設定用!$E$10,職員設定用!$E$5*$C45*100+職員設定用!$E$7*D$3+職員設定用!$E$8+職員設定用!$E$9*D$3)</f>
        <v>1130000</v>
      </c>
      <c r="E45" s="215">
        <f t="shared" si="0"/>
        <v>94200</v>
      </c>
      <c r="F45" s="207">
        <f>IF(職員設定用!$B$5*$C45*100+職員設定用!$B$7*F$3+職員設定用!$B$8&gt;=職員設定用!$B$10,職員設定用!$B$10,職員設定用!$B$5*$C45*100+職員設定用!$B$7*F$3+職員設定用!$B$8)
+IF(職員設定用!$C$5*$C45*100+職員設定用!$C$7*F$3+職員設定用!$C$8&gt;=職員設定用!$C$10,職員設定用!$C$10,職員設定用!$C$5*$C45*100+職員設定用!$C$7*F$3+職員設定用!$C$8)
+IF(職員設定用!$D$5*$C45*100+職員設定用!$D$7*F$3+職員設定用!$D$8&gt;=職員設定用!$D$10,職員設定用!$D$10,職員設定用!$D$5*$C45*100+職員設定用!$D$7*F$3+職員設定用!$D$8)
+IF(職員設定用!$E$5*$C45*100+職員設定用!$E$7*F$3+職員設定用!$E$8+職員設定用!$E$9*F$3&gt;=職員設定用!$E$10,職員設定用!$E$10,職員設定用!$E$5*$C45*100+職員設定用!$E$7*F$3+職員設定用!$E$8+職員設定用!$E$9*F$3)</f>
        <v>1130000</v>
      </c>
      <c r="G45" s="215">
        <f t="shared" si="0"/>
        <v>94200</v>
      </c>
      <c r="H45" s="207">
        <f>IF(職員設定用!$B$5*$C45*100+職員設定用!$B$7*H$3+職員設定用!$B$8&gt;=職員設定用!$B$10,職員設定用!$B$10,職員設定用!$B$5*$C45*100+職員設定用!$B$7*H$3+職員設定用!$B$8)
+IF(職員設定用!$C$5*$C45*100+職員設定用!$C$7*H$3+職員設定用!$C$8&gt;=職員設定用!$C$10,職員設定用!$C$10,職員設定用!$C$5*$C45*100+職員設定用!$C$7*H$3+職員設定用!$C$8)
+IF(職員設定用!$D$5*$C45*100+職員設定用!$D$7*H$3+職員設定用!$D$8&gt;=職員設定用!$D$10,職員設定用!$D$10,職員設定用!$D$5*$C45*100+職員設定用!$D$7*H$3+職員設定用!$D$8)
+IF(職員設定用!$E$5*$C45*100+職員設定用!$E$7*H$3+職員設定用!$E$8+職員設定用!$E$9*H$3&gt;=職員設定用!$E$10,職員設定用!$E$10,職員設定用!$E$5*$C45*100+職員設定用!$E$7*H$3+職員設定用!$E$8+職員設定用!$E$9*H$3)</f>
        <v>1130000</v>
      </c>
      <c r="I45" s="215">
        <f t="shared" ref="I45" si="313">ROUNDUP(H45/12,-2)</f>
        <v>94200</v>
      </c>
      <c r="J45" s="207">
        <f>IF(職員設定用!$B$5*$C45*100+職員設定用!$B$7*J$3+職員設定用!$B$8&gt;=職員設定用!$B$10,職員設定用!$B$10,職員設定用!$B$5*$C45*100+職員設定用!$B$7*J$3+職員設定用!$B$8)
+IF(職員設定用!$C$5*$C45*100+職員設定用!$C$7*J$3+職員設定用!$C$8&gt;=職員設定用!$C$10,職員設定用!$C$10,職員設定用!$C$5*$C45*100+職員設定用!$C$7*J$3+職員設定用!$C$8)
+IF(職員設定用!$D$5*$C45*100+職員設定用!$D$7*J$3+職員設定用!$D$8&gt;=職員設定用!$D$10,職員設定用!$D$10,職員設定用!$D$5*$C45*100+職員設定用!$D$7*J$3+職員設定用!$D$8)
+IF(職員設定用!$E$5*$C45*100+職員設定用!$E$7*J$3+職員設定用!$E$8+職員設定用!$E$9*J$3&gt;=職員設定用!$E$10,職員設定用!$E$10,職員設定用!$E$5*$C45*100+職員設定用!$E$7*J$3+職員設定用!$E$8+職員設定用!$E$9*J$3)</f>
        <v>1130000</v>
      </c>
      <c r="K45" s="215">
        <f t="shared" ref="K45" si="314">ROUNDUP(J45/12,-2)</f>
        <v>94200</v>
      </c>
      <c r="L45" s="207">
        <f>IF(職員設定用!$B$5*$C45*100+職員設定用!$B$7*L$3+職員設定用!$B$8&gt;=職員設定用!$B$10,職員設定用!$B$10,職員設定用!$B$5*$C45*100+職員設定用!$B$7*L$3+職員設定用!$B$8)
+IF(職員設定用!$C$5*$C45*100+職員設定用!$C$7*L$3+職員設定用!$C$8&gt;=職員設定用!$C$10,職員設定用!$C$10,職員設定用!$C$5*$C45*100+職員設定用!$C$7*L$3+職員設定用!$C$8)
+IF(職員設定用!$D$5*$C45*100+職員設定用!$D$7*L$3+職員設定用!$D$8&gt;=職員設定用!$D$10,職員設定用!$D$10,職員設定用!$D$5*$C45*100+職員設定用!$D$7*L$3+職員設定用!$D$8)
+IF(職員設定用!$E$5*$C45*100+職員設定用!$E$7*L$3+職員設定用!$E$8+職員設定用!$E$9*L$3&gt;=職員設定用!$E$10,職員設定用!$E$10,職員設定用!$E$5*$C45*100+職員設定用!$E$7*L$3+職員設定用!$E$8+職員設定用!$E$9*L$3)</f>
        <v>1130000</v>
      </c>
      <c r="M45" s="215">
        <f t="shared" ref="M45" si="315">ROUNDUP(L45/12,-2)</f>
        <v>94200</v>
      </c>
      <c r="N45" s="207">
        <f>IF(職員設定用!$B$5*$C45*100+職員設定用!$B$7*N$3+職員設定用!$B$8&gt;=職員設定用!$B$10,職員設定用!$B$10,職員設定用!$B$5*$C45*100+職員設定用!$B$7*N$3+職員設定用!$B$8)
+IF(職員設定用!$C$5*$C45*100+職員設定用!$C$7*N$3+職員設定用!$C$8&gt;=職員設定用!$C$10,職員設定用!$C$10,職員設定用!$C$5*$C45*100+職員設定用!$C$7*N$3+職員設定用!$C$8)
+IF(職員設定用!$D$5*$C45*100+職員設定用!$D$7*N$3+職員設定用!$D$8&gt;=職員設定用!$D$10,職員設定用!$D$10,職員設定用!$D$5*$C45*100+職員設定用!$D$7*N$3+職員設定用!$D$8)
+IF(職員設定用!$E$5*$C45*100+職員設定用!$E$7*N$3+職員設定用!$E$8+職員設定用!$E$9*N$3&gt;=職員設定用!$E$10,職員設定用!$E$10,職員設定用!$E$5*$C45*100+職員設定用!$E$7*N$3+職員設定用!$E$8+職員設定用!$E$9*N$3)</f>
        <v>1130000</v>
      </c>
      <c r="O45" s="215">
        <f t="shared" ref="O45" si="316">ROUNDUP(N45/12,-2)</f>
        <v>94200</v>
      </c>
      <c r="P45" s="207">
        <f>IF(職員設定用!$B$5*$C45*100+職員設定用!$B$7*P$3+職員設定用!$B$8&gt;=職員設定用!$B$10,職員設定用!$B$10,職員設定用!$B$5*$C45*100+職員設定用!$B$7*P$3+職員設定用!$B$8)
+IF(職員設定用!$C$5*$C45*100+職員設定用!$C$7*P$3+職員設定用!$C$8&gt;=職員設定用!$C$10,職員設定用!$C$10,職員設定用!$C$5*$C45*100+職員設定用!$C$7*P$3+職員設定用!$C$8)
+IF(職員設定用!$D$5*$C45*100+職員設定用!$D$7*P$3+職員設定用!$D$8&gt;=職員設定用!$D$10,職員設定用!$D$10,職員設定用!$D$5*$C45*100+職員設定用!$D$7*P$3+職員設定用!$D$8)
+IF(職員設定用!$E$5*$C45*100+職員設定用!$E$7*P$3+職員設定用!$E$8+職員設定用!$E$9*P$3&gt;=職員設定用!$E$10,職員設定用!$E$10,職員設定用!$E$5*$C45*100+職員設定用!$E$7*P$3+職員設定用!$E$8+職員設定用!$E$9*P$3)</f>
        <v>1130000</v>
      </c>
      <c r="Q45" s="215">
        <f t="shared" ref="Q45" si="317">ROUNDUP(P45/12,-2)</f>
        <v>94200</v>
      </c>
      <c r="R45" s="207">
        <f>IF(職員設定用!$B$5*$C45*100+職員設定用!$B$7*R$3+職員設定用!$B$8&gt;=職員設定用!$B$10,職員設定用!$B$10,職員設定用!$B$5*$C45*100+職員設定用!$B$7*R$3+職員設定用!$B$8)
+IF(職員設定用!$C$5*$C45*100+職員設定用!$C$7*R$3+職員設定用!$C$8&gt;=職員設定用!$C$10,職員設定用!$C$10,職員設定用!$C$5*$C45*100+職員設定用!$C$7*R$3+職員設定用!$C$8)
+IF(職員設定用!$D$5*$C45*100+職員設定用!$D$7*R$3+職員設定用!$D$8&gt;=職員設定用!$D$10,職員設定用!$D$10,職員設定用!$D$5*$C45*100+職員設定用!$D$7*R$3+職員設定用!$D$8)
+IF(職員設定用!$E$5*$C45*100+職員設定用!$E$7*R$3+職員設定用!$E$8+職員設定用!$E$9*R$3&gt;=職員設定用!$E$10,職員設定用!$E$10,職員設定用!$E$5*$C45*100+職員設定用!$E$7*R$3+職員設定用!$E$8+職員設定用!$E$9*R$3)</f>
        <v>1130000</v>
      </c>
      <c r="S45" s="215">
        <f t="shared" ref="S45" si="318">ROUNDUP(R45/12,-2)</f>
        <v>94200</v>
      </c>
      <c r="T45" s="207">
        <f>IF(職員設定用!$B$5*$C45*100+職員設定用!$B$7*T$3+職員設定用!$B$8&gt;=職員設定用!$B$10,職員設定用!$B$10,職員設定用!$B$5*$C45*100+職員設定用!$B$7*T$3+職員設定用!$B$8)
+IF(職員設定用!$C$5*$C45*100+職員設定用!$C$7*T$3+職員設定用!$C$8&gt;=職員設定用!$C$10,職員設定用!$C$10,職員設定用!$C$5*$C45*100+職員設定用!$C$7*T$3+職員設定用!$C$8)
+IF(職員設定用!$D$5*$C45*100+職員設定用!$D$7*T$3+職員設定用!$D$8&gt;=職員設定用!$D$10,職員設定用!$D$10,職員設定用!$D$5*$C45*100+職員設定用!$D$7*T$3+職員設定用!$D$8)
+IF(職員設定用!$E$5*$C45*100+職員設定用!$E$7*T$3+職員設定用!$E$8+職員設定用!$E$9*T$3&gt;=職員設定用!$E$10,職員設定用!$E$10,職員設定用!$E$5*$C45*100+職員設定用!$E$7*T$3+職員設定用!$E$8+職員設定用!$E$9*T$3)</f>
        <v>1130000</v>
      </c>
      <c r="U45" s="215">
        <f t="shared" ref="U45" si="319">ROUNDUP(T45/12,-2)</f>
        <v>94200</v>
      </c>
      <c r="V45" s="207">
        <f>IF(職員設定用!$B$5*$C45*100+職員設定用!$B$7*V$3+職員設定用!$B$8&gt;=職員設定用!$B$10,職員設定用!$B$10,職員設定用!$B$5*$C45*100+職員設定用!$B$7*V$3+職員設定用!$B$8)
+IF(職員設定用!$C$5*$C45*100+職員設定用!$C$7*V$3+職員設定用!$C$8&gt;=職員設定用!$C$10,職員設定用!$C$10,職員設定用!$C$5*$C45*100+職員設定用!$C$7*V$3+職員設定用!$C$8)
+IF(職員設定用!$D$5*$C45*100+職員設定用!$D$7*V$3+職員設定用!$D$8&gt;=職員設定用!$D$10,職員設定用!$D$10,職員設定用!$D$5*$C45*100+職員設定用!$D$7*V$3+職員設定用!$D$8)
+IF(職員設定用!$E$5*$C45*100+職員設定用!$E$7*V$3+職員設定用!$E$8+職員設定用!$E$9*V$3&gt;=職員設定用!$E$10,職員設定用!$E$10,職員設定用!$E$5*$C45*100+職員設定用!$E$7*V$3+職員設定用!$E$8+職員設定用!$E$9*V$3)</f>
        <v>1130000</v>
      </c>
      <c r="W45" s="215">
        <f t="shared" ref="W45" si="320">ROUNDUP(V45/12,-2)</f>
        <v>94200</v>
      </c>
    </row>
  </sheetData>
  <mergeCells count="1">
    <mergeCell ref="D1:E1"/>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FA619-44FC-46A8-BE07-F09327CC37FF}">
  <sheetPr codeName="Sheet2"/>
  <dimension ref="A1"/>
  <sheetViews>
    <sheetView showGridLines="0" showRowColHeaders="0" view="pageBreakPreview" zoomScaleNormal="100" zoomScaleSheetLayoutView="100" workbookViewId="0">
      <selection activeCell="K8" sqref="K8"/>
    </sheetView>
  </sheetViews>
  <sheetFormatPr defaultRowHeight="13.5"/>
  <sheetData/>
  <sheetProtection algorithmName="SHA-512" hashValue="MozZYqB/TsixMDOL9t5GQrrGPGyxjC10I46j90DEij0mFOAtWm44iwaWl4hRqIFEdaQ8H8x9I9nBSgsa4IIkfA==" saltValue="Ohb18e1qVpJ17e7VKX5o2A==" spinCount="100000" sheet="1" objects="1" scenarios="1"/>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498BB-7953-4E50-8A97-6306DA1BA762}">
  <sheetPr codeName="Sheet3"/>
  <dimension ref="A2:N19"/>
  <sheetViews>
    <sheetView showGridLines="0" view="pageBreakPreview" zoomScale="85" zoomScaleNormal="76" zoomScaleSheetLayoutView="85" workbookViewId="0">
      <selection activeCell="K42" sqref="K42"/>
    </sheetView>
  </sheetViews>
  <sheetFormatPr defaultRowHeight="13.5"/>
  <sheetData>
    <row r="2" spans="1:14" ht="14.25" thickBot="1"/>
    <row r="3" spans="1:14">
      <c r="A3" s="567" t="s">
        <v>84</v>
      </c>
      <c r="B3" s="558" t="s">
        <v>248</v>
      </c>
      <c r="C3" s="559"/>
      <c r="D3" s="559"/>
      <c r="E3" s="560"/>
      <c r="F3" s="588" t="s">
        <v>247</v>
      </c>
      <c r="G3" s="589"/>
      <c r="H3" s="589"/>
      <c r="I3" s="589"/>
      <c r="J3" s="589"/>
      <c r="K3" s="589"/>
      <c r="L3" s="589"/>
      <c r="M3" s="589"/>
      <c r="N3" s="590"/>
    </row>
    <row r="4" spans="1:14" ht="14.25" thickBot="1">
      <c r="A4" s="568"/>
      <c r="B4" s="561"/>
      <c r="C4" s="562"/>
      <c r="D4" s="562"/>
      <c r="E4" s="563"/>
      <c r="F4" s="591"/>
      <c r="G4" s="592"/>
      <c r="H4" s="592"/>
      <c r="I4" s="592"/>
      <c r="J4" s="592"/>
      <c r="K4" s="592"/>
      <c r="L4" s="592"/>
      <c r="M4" s="592"/>
      <c r="N4" s="593"/>
    </row>
    <row r="5" spans="1:14">
      <c r="A5" s="568"/>
      <c r="B5" s="561"/>
      <c r="C5" s="562"/>
      <c r="D5" s="562"/>
      <c r="E5" s="563"/>
      <c r="F5" s="588" t="s">
        <v>246</v>
      </c>
      <c r="G5" s="589"/>
      <c r="H5" s="589"/>
      <c r="I5" s="589"/>
      <c r="J5" s="589"/>
      <c r="K5" s="589"/>
      <c r="L5" s="589"/>
      <c r="M5" s="589"/>
      <c r="N5" s="590"/>
    </row>
    <row r="6" spans="1:14">
      <c r="A6" s="568"/>
      <c r="B6" s="561"/>
      <c r="C6" s="562"/>
      <c r="D6" s="562"/>
      <c r="E6" s="563"/>
      <c r="F6" s="602" t="s">
        <v>245</v>
      </c>
      <c r="G6" s="603"/>
      <c r="H6" s="604"/>
      <c r="I6" s="606" t="s">
        <v>244</v>
      </c>
      <c r="J6" s="603"/>
      <c r="K6" s="604"/>
      <c r="L6" s="606" t="s">
        <v>243</v>
      </c>
      <c r="M6" s="603"/>
      <c r="N6" s="608"/>
    </row>
    <row r="7" spans="1:14" ht="14.25" thickBot="1">
      <c r="A7" s="569"/>
      <c r="B7" s="564"/>
      <c r="C7" s="565"/>
      <c r="D7" s="565"/>
      <c r="E7" s="566"/>
      <c r="F7" s="591"/>
      <c r="G7" s="592"/>
      <c r="H7" s="605"/>
      <c r="I7" s="607"/>
      <c r="J7" s="592"/>
      <c r="K7" s="605"/>
      <c r="L7" s="607"/>
      <c r="M7" s="592"/>
      <c r="N7" s="593"/>
    </row>
    <row r="8" spans="1:14">
      <c r="A8" s="553" t="s">
        <v>242</v>
      </c>
      <c r="B8" s="573" t="s">
        <v>241</v>
      </c>
      <c r="C8" s="574"/>
      <c r="D8" s="574"/>
      <c r="E8" s="575"/>
      <c r="F8" s="573" t="s">
        <v>240</v>
      </c>
      <c r="G8" s="574"/>
      <c r="H8" s="583"/>
      <c r="I8" s="582" t="s">
        <v>232</v>
      </c>
      <c r="J8" s="574"/>
      <c r="K8" s="583"/>
      <c r="L8" s="582" t="s">
        <v>232</v>
      </c>
      <c r="M8" s="574"/>
      <c r="N8" s="575"/>
    </row>
    <row r="9" spans="1:14">
      <c r="A9" s="553"/>
      <c r="B9" s="576" t="s">
        <v>239</v>
      </c>
      <c r="C9" s="577"/>
      <c r="D9" s="577"/>
      <c r="E9" s="578"/>
      <c r="F9" s="596" t="s">
        <v>238</v>
      </c>
      <c r="G9" s="597"/>
      <c r="H9" s="598"/>
      <c r="I9" s="594" t="s">
        <v>237</v>
      </c>
      <c r="J9" s="577"/>
      <c r="K9" s="595"/>
      <c r="L9" s="594" t="s">
        <v>236</v>
      </c>
      <c r="M9" s="577"/>
      <c r="N9" s="578"/>
    </row>
    <row r="10" spans="1:14">
      <c r="A10" s="553"/>
      <c r="B10" s="579" t="s">
        <v>235</v>
      </c>
      <c r="C10" s="580"/>
      <c r="D10" s="580"/>
      <c r="E10" s="581"/>
      <c r="F10" s="599" t="s">
        <v>226</v>
      </c>
      <c r="G10" s="600"/>
      <c r="H10" s="601"/>
      <c r="I10" s="586" t="s">
        <v>225</v>
      </c>
      <c r="J10" s="580"/>
      <c r="K10" s="587"/>
      <c r="L10" s="586" t="s">
        <v>224</v>
      </c>
      <c r="M10" s="580"/>
      <c r="N10" s="581"/>
    </row>
    <row r="11" spans="1:14">
      <c r="A11" s="553"/>
      <c r="B11" s="576" t="s">
        <v>223</v>
      </c>
      <c r="C11" s="577"/>
      <c r="D11" s="577"/>
      <c r="E11" s="578"/>
      <c r="F11" s="576" t="s">
        <v>222</v>
      </c>
      <c r="G11" s="577"/>
      <c r="H11" s="595"/>
      <c r="I11" s="594" t="s">
        <v>221</v>
      </c>
      <c r="J11" s="577"/>
      <c r="K11" s="595"/>
      <c r="L11" s="594" t="s">
        <v>220</v>
      </c>
      <c r="M11" s="577"/>
      <c r="N11" s="578"/>
    </row>
    <row r="12" spans="1:14">
      <c r="A12" s="553"/>
      <c r="B12" s="579" t="s">
        <v>219</v>
      </c>
      <c r="C12" s="580"/>
      <c r="D12" s="580"/>
      <c r="E12" s="581"/>
      <c r="F12" s="579" t="s">
        <v>218</v>
      </c>
      <c r="G12" s="580"/>
      <c r="H12" s="587"/>
      <c r="I12" s="586" t="s">
        <v>217</v>
      </c>
      <c r="J12" s="580"/>
      <c r="K12" s="587"/>
      <c r="L12" s="586" t="s">
        <v>216</v>
      </c>
      <c r="M12" s="580"/>
      <c r="N12" s="581"/>
    </row>
    <row r="13" spans="1:14" ht="14.25" thickBot="1">
      <c r="A13" s="554"/>
      <c r="B13" s="570" t="s">
        <v>215</v>
      </c>
      <c r="C13" s="571"/>
      <c r="D13" s="571"/>
      <c r="E13" s="572"/>
      <c r="F13" s="570" t="s">
        <v>214</v>
      </c>
      <c r="G13" s="571"/>
      <c r="H13" s="585"/>
      <c r="I13" s="584" t="s">
        <v>213</v>
      </c>
      <c r="J13" s="571"/>
      <c r="K13" s="585"/>
      <c r="L13" s="584" t="s">
        <v>212</v>
      </c>
      <c r="M13" s="571"/>
      <c r="N13" s="572"/>
    </row>
    <row r="14" spans="1:14">
      <c r="A14" s="555" t="s">
        <v>234</v>
      </c>
      <c r="B14" s="573" t="s">
        <v>233</v>
      </c>
      <c r="C14" s="574"/>
      <c r="D14" s="574"/>
      <c r="E14" s="575"/>
      <c r="F14" s="573" t="s">
        <v>232</v>
      </c>
      <c r="G14" s="574"/>
      <c r="H14" s="583"/>
      <c r="I14" s="582" t="s">
        <v>232</v>
      </c>
      <c r="J14" s="574"/>
      <c r="K14" s="583"/>
      <c r="L14" s="582" t="s">
        <v>232</v>
      </c>
      <c r="M14" s="574"/>
      <c r="N14" s="575"/>
    </row>
    <row r="15" spans="1:14">
      <c r="A15" s="556"/>
      <c r="B15" s="576" t="s">
        <v>231</v>
      </c>
      <c r="C15" s="577"/>
      <c r="D15" s="577"/>
      <c r="E15" s="578"/>
      <c r="F15" s="576" t="s">
        <v>230</v>
      </c>
      <c r="G15" s="577"/>
      <c r="H15" s="595"/>
      <c r="I15" s="594" t="s">
        <v>229</v>
      </c>
      <c r="J15" s="577"/>
      <c r="K15" s="595"/>
      <c r="L15" s="594" t="s">
        <v>228</v>
      </c>
      <c r="M15" s="577"/>
      <c r="N15" s="578"/>
    </row>
    <row r="16" spans="1:14">
      <c r="A16" s="556"/>
      <c r="B16" s="579" t="s">
        <v>227</v>
      </c>
      <c r="C16" s="580"/>
      <c r="D16" s="580"/>
      <c r="E16" s="581"/>
      <c r="F16" s="579" t="s">
        <v>226</v>
      </c>
      <c r="G16" s="580"/>
      <c r="H16" s="587"/>
      <c r="I16" s="586" t="s">
        <v>225</v>
      </c>
      <c r="J16" s="580"/>
      <c r="K16" s="587"/>
      <c r="L16" s="586" t="s">
        <v>224</v>
      </c>
      <c r="M16" s="580"/>
      <c r="N16" s="581"/>
    </row>
    <row r="17" spans="1:14">
      <c r="A17" s="556"/>
      <c r="B17" s="576" t="s">
        <v>223</v>
      </c>
      <c r="C17" s="577"/>
      <c r="D17" s="577"/>
      <c r="E17" s="578"/>
      <c r="F17" s="576" t="s">
        <v>222</v>
      </c>
      <c r="G17" s="577"/>
      <c r="H17" s="595"/>
      <c r="I17" s="594" t="s">
        <v>221</v>
      </c>
      <c r="J17" s="577"/>
      <c r="K17" s="595"/>
      <c r="L17" s="594" t="s">
        <v>220</v>
      </c>
      <c r="M17" s="577"/>
      <c r="N17" s="578"/>
    </row>
    <row r="18" spans="1:14">
      <c r="A18" s="556"/>
      <c r="B18" s="579" t="s">
        <v>219</v>
      </c>
      <c r="C18" s="580"/>
      <c r="D18" s="580"/>
      <c r="E18" s="581"/>
      <c r="F18" s="579" t="s">
        <v>218</v>
      </c>
      <c r="G18" s="580"/>
      <c r="H18" s="587"/>
      <c r="I18" s="586" t="s">
        <v>217</v>
      </c>
      <c r="J18" s="580"/>
      <c r="K18" s="587"/>
      <c r="L18" s="586" t="s">
        <v>216</v>
      </c>
      <c r="M18" s="580"/>
      <c r="N18" s="581"/>
    </row>
    <row r="19" spans="1:14" ht="14.25" thickBot="1">
      <c r="A19" s="557"/>
      <c r="B19" s="570" t="s">
        <v>215</v>
      </c>
      <c r="C19" s="571"/>
      <c r="D19" s="571"/>
      <c r="E19" s="572"/>
      <c r="F19" s="570" t="s">
        <v>214</v>
      </c>
      <c r="G19" s="571"/>
      <c r="H19" s="585"/>
      <c r="I19" s="584" t="s">
        <v>213</v>
      </c>
      <c r="J19" s="571"/>
      <c r="K19" s="585"/>
      <c r="L19" s="584" t="s">
        <v>212</v>
      </c>
      <c r="M19" s="571"/>
      <c r="N19" s="572"/>
    </row>
  </sheetData>
  <sheetProtection algorithmName="SHA-512" hashValue="0G1LQUjblgQqq5auijjqETnWyNZNpfbm1MlH0aXu8+1buLYsRM/fGkEtb6l6Aj048gPU0nUHNJ1Ho8aBr5lDbA==" saltValue="soNxISFDYhFNpUPuWqKejQ==" spinCount="100000" sheet="1" objects="1" scenarios="1"/>
  <mergeCells count="57">
    <mergeCell ref="L6:N7"/>
    <mergeCell ref="F8:H8"/>
    <mergeCell ref="I8:K8"/>
    <mergeCell ref="L8:N8"/>
    <mergeCell ref="F19:H19"/>
    <mergeCell ref="I19:K19"/>
    <mergeCell ref="I18:K18"/>
    <mergeCell ref="I17:K17"/>
    <mergeCell ref="F6:H7"/>
    <mergeCell ref="I6:K7"/>
    <mergeCell ref="F9:H9"/>
    <mergeCell ref="F10:H10"/>
    <mergeCell ref="F11:H11"/>
    <mergeCell ref="F17:H17"/>
    <mergeCell ref="F18:H18"/>
    <mergeCell ref="F3:N4"/>
    <mergeCell ref="L15:N15"/>
    <mergeCell ref="L16:N16"/>
    <mergeCell ref="L17:N17"/>
    <mergeCell ref="L9:N9"/>
    <mergeCell ref="L10:N10"/>
    <mergeCell ref="L11:N11"/>
    <mergeCell ref="L12:N12"/>
    <mergeCell ref="L13:N13"/>
    <mergeCell ref="L14:N14"/>
    <mergeCell ref="F12:H12"/>
    <mergeCell ref="F13:H13"/>
    <mergeCell ref="F14:H14"/>
    <mergeCell ref="I11:K11"/>
    <mergeCell ref="I10:K10"/>
    <mergeCell ref="I9:K9"/>
    <mergeCell ref="I14:K14"/>
    <mergeCell ref="I13:K13"/>
    <mergeCell ref="I12:K12"/>
    <mergeCell ref="B19:E19"/>
    <mergeCell ref="F5:N5"/>
    <mergeCell ref="L18:N18"/>
    <mergeCell ref="L19:N19"/>
    <mergeCell ref="B8:E8"/>
    <mergeCell ref="B9:E9"/>
    <mergeCell ref="B10:E10"/>
    <mergeCell ref="B11:E11"/>
    <mergeCell ref="B12:E12"/>
    <mergeCell ref="F15:H15"/>
    <mergeCell ref="F16:H16"/>
    <mergeCell ref="I16:K16"/>
    <mergeCell ref="I15:K15"/>
    <mergeCell ref="A8:A13"/>
    <mergeCell ref="A14:A19"/>
    <mergeCell ref="B3:E7"/>
    <mergeCell ref="A3:A7"/>
    <mergeCell ref="B13:E13"/>
    <mergeCell ref="B14:E14"/>
    <mergeCell ref="B15:E15"/>
    <mergeCell ref="B16:E16"/>
    <mergeCell ref="B17:E17"/>
    <mergeCell ref="B18:E18"/>
  </mergeCells>
  <phoneticPr fontId="2"/>
  <pageMargins left="0.7" right="0.7" top="0.75" bottom="0.75" header="0.3" footer="0.3"/>
  <pageSetup paperSize="9"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45899-B8BE-46ED-A477-EDBD07B6A126}">
  <sheetPr codeName="Sheet4"/>
  <dimension ref="A1"/>
  <sheetViews>
    <sheetView showGridLines="0" showRowColHeaders="0" view="pageBreakPreview" zoomScale="55" zoomScaleNormal="55" zoomScaleSheetLayoutView="55" workbookViewId="0">
      <selection activeCell="Z17" sqref="Z17"/>
    </sheetView>
  </sheetViews>
  <sheetFormatPr defaultRowHeight="13.5"/>
  <sheetData/>
  <sheetProtection algorithmName="SHA-512" hashValue="Zggmiwrkbk7VlhEWdvABN2DprveWBmy0UwhrhZKc57TFWryyOQLTkzzkHCWupxg889d8fIVYxXo0Yw4dFaIR1g==" saltValue="kR2vha9T0JLE+nbHn9M3aQ==" spinCount="100000" sheet="1" objects="1" scenarios="1"/>
  <phoneticPr fontId="2"/>
  <pageMargins left="0.7" right="0.7" top="0.75" bottom="0.75" header="0.3" footer="0.3"/>
  <pageSetup paperSize="9" scale="5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E28A3-0EAD-41DA-83CE-D04476180F2C}">
  <dimension ref="A1:J25"/>
  <sheetViews>
    <sheetView workbookViewId="0">
      <selection activeCell="A9" sqref="A9:A15"/>
    </sheetView>
  </sheetViews>
  <sheetFormatPr defaultRowHeight="13.5"/>
  <cols>
    <col min="1" max="1" width="3.125" bestFit="1" customWidth="1"/>
    <col min="2" max="2" width="5.625" customWidth="1"/>
    <col min="3" max="6" width="7.5" customWidth="1"/>
    <col min="7" max="7" width="2.5" customWidth="1"/>
    <col min="8" max="10" width="8.125" customWidth="1"/>
  </cols>
  <sheetData>
    <row r="1" spans="1:10">
      <c r="A1" s="610" t="s">
        <v>118</v>
      </c>
      <c r="B1" s="83" t="s">
        <v>180</v>
      </c>
      <c r="C1" s="83"/>
      <c r="D1" s="83"/>
      <c r="E1" s="83"/>
      <c r="F1" s="83"/>
      <c r="G1" s="84"/>
      <c r="H1" s="83"/>
      <c r="I1" s="83"/>
      <c r="J1" s="82"/>
    </row>
    <row r="2" spans="1:10">
      <c r="A2" s="611"/>
      <c r="B2" s="78"/>
      <c r="C2" s="78" t="s">
        <v>179</v>
      </c>
      <c r="D2" s="78" t="s">
        <v>178</v>
      </c>
      <c r="E2" s="78" t="s">
        <v>177</v>
      </c>
      <c r="F2" s="78" t="s">
        <v>194</v>
      </c>
      <c r="G2" s="613" t="s">
        <v>205</v>
      </c>
      <c r="H2" s="78" t="s">
        <v>176</v>
      </c>
      <c r="I2" s="78" t="str">
        <f>IF(I3="","","国・後・子")</f>
        <v>国・後・子</v>
      </c>
      <c r="J2" s="81" t="str">
        <f>IF(I3="","国・後・介","国・後・介・子")</f>
        <v>国・後・介・子</v>
      </c>
    </row>
    <row r="3" spans="1:10">
      <c r="A3" s="611"/>
      <c r="B3" s="78" t="s">
        <v>81</v>
      </c>
      <c r="C3" s="80">
        <f>IFERROR(INDEX(国保税率!$C:$C,MATCH($A$1,国保税率!$B:$B,0),1),0)</f>
        <v>7.6499999999999999E-2</v>
      </c>
      <c r="D3" s="80">
        <f>IFERROR(INDEX(国保税率!$H:$H,MATCH($A$1,国保税率!$B:$B,0),1),0)</f>
        <v>2.6100000000000002E-2</v>
      </c>
      <c r="E3" s="80">
        <f>IFERROR(INDEX(国保税率!$M:$M,MATCH($A$1,国保税率!$B:$B,0),1),0)</f>
        <v>2.2700000000000001E-2</v>
      </c>
      <c r="F3" s="80">
        <f>IF(IFERROR(INDEX(国保税率!$R:$R,MATCH($A$1,国保税率!$B:$B,0),1),0)=0,"-",IFERROR(INDEX(国保税率!$R:$R,MATCH($A$1,国保税率!$B:$B,0),1),0))</f>
        <v>2.8999999999999998E-3</v>
      </c>
      <c r="G3" s="614"/>
      <c r="H3" s="80">
        <f>C3+D3</f>
        <v>0.1026</v>
      </c>
      <c r="I3" s="80">
        <f>IF(H3=SUM(H3,F3),"",SUM(H3,F3))</f>
        <v>0.1055</v>
      </c>
      <c r="J3" s="79">
        <f>SUM(H3,E3:F3)</f>
        <v>0.12819999999999998</v>
      </c>
    </row>
    <row r="4" spans="1:10">
      <c r="A4" s="611"/>
      <c r="B4" s="78" t="s">
        <v>82</v>
      </c>
      <c r="C4" s="77">
        <f>IFERROR(INDEX(国保税率!$E:$E,MATCH($A$1,国保税率!$B:$B,0),1),0)</f>
        <v>32600</v>
      </c>
      <c r="D4" s="77">
        <f>IFERROR(INDEX(国保税率!$J:$J,MATCH($A$1,国保税率!$B:$B,0),1),0)</f>
        <v>10900</v>
      </c>
      <c r="E4" s="77">
        <f>IFERROR(INDEX(国保税率!$O:$O,MATCH($A$1,国保税率!$B:$B,0),1),0)</f>
        <v>11500</v>
      </c>
      <c r="F4" s="77">
        <f>IF(IFERROR(INDEX(国保税率!$S:$S,MATCH($A$1,国保税率!$B:$B,0),1),0)=0,"-",IFERROR(INDEX(国保税率!$S:$S,MATCH($A$1,国保税率!$B:$B,0),1),0))</f>
        <v>1200</v>
      </c>
      <c r="G4" s="614"/>
      <c r="H4" s="77">
        <f>C4+D4</f>
        <v>43500</v>
      </c>
      <c r="I4" s="77">
        <f t="shared" ref="I4:I7" si="0">IF(H4=SUM(H4,F4),"",SUM(H4,F4))</f>
        <v>44700</v>
      </c>
      <c r="J4" s="76">
        <f t="shared" ref="J4:J7" si="1">SUM(H4,E4:F4)</f>
        <v>56200</v>
      </c>
    </row>
    <row r="5" spans="1:10">
      <c r="A5" s="611"/>
      <c r="B5" s="78" t="s">
        <v>83</v>
      </c>
      <c r="C5" s="77">
        <f>IFERROR(INDEX(国保税率!$F:$F,MATCH($A$1,国保税率!$B:$B,0),1),0)</f>
        <v>21800</v>
      </c>
      <c r="D5" s="77">
        <f>IFERROR(INDEX(国保税率!$K:$K,MATCH($A$1,国保税率!$B:$B,0),1),0)</f>
        <v>7300</v>
      </c>
      <c r="E5" s="77">
        <f>IFERROR(INDEX(国保税率!$P:$P,MATCH($A$1,国保税率!$B:$B,0),1),0)</f>
        <v>5700</v>
      </c>
      <c r="F5" s="77">
        <f>IF(IFERROR(INDEX(国保税率!$T:$T,MATCH($A$1,国保税率!$B:$B,0),1),0)=0,"-",IFERROR(INDEX(国保税率!$T:$T,MATCH($A$1,国保税率!$B:$B,0),1),0))</f>
        <v>800</v>
      </c>
      <c r="G5" s="614"/>
      <c r="H5" s="77">
        <f>C5+D5</f>
        <v>29100</v>
      </c>
      <c r="I5" s="77">
        <f>IF(H5=SUM(H5,F5),"",SUM(H5,F5))</f>
        <v>29900</v>
      </c>
      <c r="J5" s="76">
        <f t="shared" si="1"/>
        <v>35600</v>
      </c>
    </row>
    <row r="6" spans="1:10" ht="14.25" thickBot="1">
      <c r="A6" s="611"/>
      <c r="B6" s="249" t="s">
        <v>206</v>
      </c>
      <c r="C6" s="250"/>
      <c r="D6" s="250"/>
      <c r="E6" s="250"/>
      <c r="F6" s="250">
        <f>IF(IFERROR(INDEX(国保税率!$U:$U,MATCH($A$1,国保税率!$B:$B,0),1),0)=0,"-",IFERROR(INDEX(国保税率!$U:$U,MATCH($A$1,国保税率!$B:$B,0),1),0))</f>
        <v>100</v>
      </c>
      <c r="G6" s="614"/>
      <c r="H6" s="250"/>
      <c r="I6" s="250">
        <f t="shared" si="0"/>
        <v>100</v>
      </c>
      <c r="J6" s="251">
        <f t="shared" si="1"/>
        <v>100</v>
      </c>
    </row>
    <row r="7" spans="1:10" ht="15" thickTop="1" thickBot="1">
      <c r="A7" s="612"/>
      <c r="B7" s="75" t="s">
        <v>19</v>
      </c>
      <c r="C7" s="74">
        <f>IFERROR(INDEX(国保税率!$G:$G,MATCH($A$1,国保税率!$B:$B,0),1),0)</f>
        <v>670000</v>
      </c>
      <c r="D7" s="74">
        <f>IFERROR(INDEX(国保税率!$L:$L,MATCH($A$1,国保税率!$B:$B,0),1),0)</f>
        <v>260000</v>
      </c>
      <c r="E7" s="74">
        <f>IFERROR(INDEX(国保税率!$Q:$Q,MATCH($A$1,国保税率!$B:$B,0),1),0)</f>
        <v>170000</v>
      </c>
      <c r="F7" s="74">
        <f>IF(IFERROR(INDEX(国保税率!$V:$V,MATCH($A$1,国保税率!$B:$B,0),1),0)=0,"-",IFERROR(INDEX(国保税率!$V:$V,MATCH($A$1,国保税率!$B:$B,0),1),0))</f>
        <v>30000</v>
      </c>
      <c r="G7" s="615"/>
      <c r="H7" s="74">
        <f>C7+D7</f>
        <v>930000</v>
      </c>
      <c r="I7" s="74">
        <f t="shared" si="0"/>
        <v>960000</v>
      </c>
      <c r="J7" s="73">
        <f t="shared" si="1"/>
        <v>1130000</v>
      </c>
    </row>
    <row r="8" spans="1:10" ht="7.5" customHeight="1" thickBot="1"/>
    <row r="9" spans="1:10" ht="13.5" customHeight="1">
      <c r="A9" s="610" t="s">
        <v>119</v>
      </c>
      <c r="B9" s="83" t="s">
        <v>180</v>
      </c>
      <c r="C9" s="83"/>
      <c r="D9" s="83"/>
      <c r="E9" s="83"/>
      <c r="F9" s="83"/>
      <c r="G9" s="84"/>
      <c r="H9" s="83"/>
      <c r="I9" s="83"/>
      <c r="J9" s="82"/>
    </row>
    <row r="10" spans="1:10" ht="13.5" customHeight="1">
      <c r="A10" s="611"/>
      <c r="B10" s="78"/>
      <c r="C10" s="78" t="s">
        <v>179</v>
      </c>
      <c r="D10" s="78" t="s">
        <v>178</v>
      </c>
      <c r="E10" s="78" t="s">
        <v>177</v>
      </c>
      <c r="F10" s="78" t="s">
        <v>194</v>
      </c>
      <c r="G10" s="613" t="s">
        <v>205</v>
      </c>
      <c r="H10" s="78" t="s">
        <v>176</v>
      </c>
      <c r="I10" s="78" t="str">
        <f>IF(I11="","","国・後・子")</f>
        <v/>
      </c>
      <c r="J10" s="81" t="str">
        <f>IF(I11="","国・後・介","国・後・介・子")</f>
        <v>国・後・介</v>
      </c>
    </row>
    <row r="11" spans="1:10">
      <c r="A11" s="611"/>
      <c r="B11" s="78" t="s">
        <v>81</v>
      </c>
      <c r="C11" s="80">
        <f>IFERROR(INDEX(国保税率!$C:$C,MATCH($A$9,国保税率!$B:$B,0),1),0)</f>
        <v>6.9699999999999998E-2</v>
      </c>
      <c r="D11" s="80">
        <f>IFERROR(INDEX(国保税率!$H:$H,MATCH($A$9,国保税率!$B:$B,0),1),0)</f>
        <v>2.4799999999999999E-2</v>
      </c>
      <c r="E11" s="80">
        <f>IFERROR(INDEX(国保税率!$M:$M,MATCH($A$9,国保税率!$B:$B,0),1),0)</f>
        <v>2.1899999999999999E-2</v>
      </c>
      <c r="F11" s="80" t="str">
        <f>IF(IFERROR(INDEX(国保税率!$R:$R,MATCH($A$9,国保税率!$B:$B,0),1),0)=0,"-",IFERROR(INDEX(国保税率!$R:$R,MATCH($A$9,国保税率!$B:$B,0),1),0))</f>
        <v>-</v>
      </c>
      <c r="G11" s="614"/>
      <c r="H11" s="80">
        <f>C11+D11</f>
        <v>9.4500000000000001E-2</v>
      </c>
      <c r="I11" s="80" t="str">
        <f>IF(H11=SUM(H11,F11),"",SUM(H11,F11))</f>
        <v/>
      </c>
      <c r="J11" s="79">
        <f>SUM(H11,E11:F11)</f>
        <v>0.1164</v>
      </c>
    </row>
    <row r="12" spans="1:10">
      <c r="A12" s="611"/>
      <c r="B12" s="78" t="s">
        <v>82</v>
      </c>
      <c r="C12" s="77">
        <f>IFERROR(INDEX(国保税率!$E:$E,MATCH($A$9,国保税率!$B:$B,0),1),0)</f>
        <v>29800</v>
      </c>
      <c r="D12" s="77">
        <f>IFERROR(INDEX(国保税率!$J:$J,MATCH($A$9,国保税率!$B:$B,0),1),0)</f>
        <v>10300</v>
      </c>
      <c r="E12" s="77">
        <f>IFERROR(INDEX(国保税率!$O:$O,MATCH($A$9,国保税率!$B:$B,0),1),0)</f>
        <v>11300</v>
      </c>
      <c r="F12" s="77" t="str">
        <f>IF(IFERROR(INDEX(国保税率!$S:$S,MATCH($A$9,国保税率!$B:$B,0),1),0)=0,"-",IFERROR(INDEX(国保税率!$S:$S,MATCH($A$9,国保税率!$B:$B,0),1),0))</f>
        <v>-</v>
      </c>
      <c r="G12" s="614"/>
      <c r="H12" s="77">
        <f>C12+D12</f>
        <v>40100</v>
      </c>
      <c r="I12" s="77" t="str">
        <f t="shared" ref="I12:I15" si="2">IF(H12=SUM(H12,F12),"",SUM(H12,F12))</f>
        <v/>
      </c>
      <c r="J12" s="76">
        <f t="shared" ref="J12:J15" si="3">SUM(H12,E12:F12)</f>
        <v>51400</v>
      </c>
    </row>
    <row r="13" spans="1:10">
      <c r="A13" s="611"/>
      <c r="B13" s="78" t="s">
        <v>83</v>
      </c>
      <c r="C13" s="77">
        <f>IFERROR(INDEX(国保税率!$F:$F,MATCH($A$9,国保税率!$B:$B,0),1),0)</f>
        <v>20900</v>
      </c>
      <c r="D13" s="77">
        <f>IFERROR(INDEX(国保税率!$K:$K,MATCH($A$9,国保税率!$B:$B,0),1),0)</f>
        <v>7200</v>
      </c>
      <c r="E13" s="77">
        <f>IFERROR(INDEX(国保税率!$P:$P,MATCH($A$9,国保税率!$B:$B,0),1),0)</f>
        <v>5700</v>
      </c>
      <c r="F13" s="77" t="str">
        <f>IF(IFERROR(INDEX(国保税率!$T:$T,MATCH($A$9,国保税率!$B:$B,0),1),0)=0,"-",IFERROR(INDEX(国保税率!$T:$T,MATCH($A$9,国保税率!$B:$B,0),1),0))</f>
        <v>-</v>
      </c>
      <c r="G13" s="614"/>
      <c r="H13" s="77">
        <f>C13+D13</f>
        <v>28100</v>
      </c>
      <c r="I13" s="77" t="str">
        <f t="shared" si="2"/>
        <v/>
      </c>
      <c r="J13" s="76">
        <f t="shared" si="3"/>
        <v>33800</v>
      </c>
    </row>
    <row r="14" spans="1:10" ht="14.25" thickBot="1">
      <c r="A14" s="611"/>
      <c r="B14" s="249" t="s">
        <v>206</v>
      </c>
      <c r="C14" s="250"/>
      <c r="D14" s="250"/>
      <c r="E14" s="250"/>
      <c r="F14" s="250" t="str">
        <f>IF(IFERROR(INDEX(国保税率!$U:$U,MATCH($A$9,国保税率!$B:$B,0),1),0)=0,"-",IFERROR(INDEX(国保税率!$U:$U,MATCH($A$9,国保税率!$B:$B,0),1),0))</f>
        <v>-</v>
      </c>
      <c r="G14" s="614"/>
      <c r="H14" s="250"/>
      <c r="I14" s="250" t="str">
        <f t="shared" si="2"/>
        <v/>
      </c>
      <c r="J14" s="251">
        <f t="shared" si="3"/>
        <v>0</v>
      </c>
    </row>
    <row r="15" spans="1:10" ht="15" thickTop="1" thickBot="1">
      <c r="A15" s="612"/>
      <c r="B15" s="75" t="s">
        <v>19</v>
      </c>
      <c r="C15" s="74">
        <f>IFERROR(INDEX(国保税率!$G:$G,MATCH($A$9,国保税率!$B:$B,0),1),0)</f>
        <v>660000</v>
      </c>
      <c r="D15" s="74">
        <f>IFERROR(INDEX(国保税率!$L:$L,MATCH($A$9,国保税率!$B:$B,0),1),0)</f>
        <v>260000</v>
      </c>
      <c r="E15" s="74">
        <f>IFERROR(INDEX(国保税率!$Q:$Q,MATCH($A$9,国保税率!$B:$B,0),1),0)</f>
        <v>170000</v>
      </c>
      <c r="F15" s="74" t="str">
        <f>IF(IFERROR(INDEX(国保税率!$V:$V,MATCH($A$9,国保税率!$B:$B,0),1),0)=0,"-",IFERROR(INDEX(国保税率!$V:$V,MATCH($A$9,国保税率!$B:$B,0),1),0))</f>
        <v>-</v>
      </c>
      <c r="G15" s="615"/>
      <c r="H15" s="74">
        <f>C15+D15</f>
        <v>920000</v>
      </c>
      <c r="I15" s="74" t="str">
        <f t="shared" si="2"/>
        <v/>
      </c>
      <c r="J15" s="73">
        <f t="shared" si="3"/>
        <v>1090000</v>
      </c>
    </row>
    <row r="16" spans="1:10" ht="7.5" customHeight="1" thickBot="1"/>
    <row r="17" spans="1:10" ht="13.5" customHeight="1">
      <c r="A17" s="610" t="s">
        <v>181</v>
      </c>
      <c r="B17" s="83" t="s">
        <v>180</v>
      </c>
      <c r="C17" s="83"/>
      <c r="D17" s="83"/>
      <c r="E17" s="83"/>
      <c r="F17" s="83"/>
      <c r="G17" s="84"/>
      <c r="H17" s="83"/>
      <c r="I17" s="83"/>
      <c r="J17" s="82"/>
    </row>
    <row r="18" spans="1:10" ht="13.5" customHeight="1">
      <c r="A18" s="611"/>
      <c r="B18" s="78"/>
      <c r="C18" s="78" t="s">
        <v>179</v>
      </c>
      <c r="D18" s="78" t="s">
        <v>178</v>
      </c>
      <c r="E18" s="78" t="s">
        <v>177</v>
      </c>
      <c r="F18" s="78" t="s">
        <v>194</v>
      </c>
      <c r="G18" s="613" t="s">
        <v>205</v>
      </c>
      <c r="H18" s="78" t="s">
        <v>176</v>
      </c>
      <c r="I18" s="78" t="str">
        <f>IF(I19="","","国・後・子")</f>
        <v/>
      </c>
      <c r="J18" s="81" t="str">
        <f>IF(I19="","国・後・介","国・後・介・子")</f>
        <v>国・後・介</v>
      </c>
    </row>
    <row r="19" spans="1:10">
      <c r="A19" s="611"/>
      <c r="B19" s="78" t="s">
        <v>81</v>
      </c>
      <c r="C19" s="80">
        <f>IFERROR(INDEX(国保税率!$C:$C,MATCH($A$17,国保税率!$B:$B,0),1),0)</f>
        <v>6.4299999999999996E-2</v>
      </c>
      <c r="D19" s="80">
        <f>IFERROR(INDEX(国保税率!$H:$H,MATCH($A$17,国保税率!$B:$B,0),1),0)</f>
        <v>2.3099999999999999E-2</v>
      </c>
      <c r="E19" s="80">
        <f>IFERROR(INDEX(国保税率!$M:$M,MATCH($A$17,国保税率!$B:$B,0),1),0)</f>
        <v>2.12E-2</v>
      </c>
      <c r="F19" s="80" t="str">
        <f>IF(IFERROR(INDEX(国保税率!$R:$R,MATCH($A$17,国保税率!$B:$B,0),1),0)=0,"-",IFERROR(INDEX(国保税率!$R:$R,MATCH($A$17,国保税率!$B:$B,0),1),0))</f>
        <v>-</v>
      </c>
      <c r="G19" s="614"/>
      <c r="H19" s="80">
        <f>C19+D19</f>
        <v>8.7399999999999992E-2</v>
      </c>
      <c r="I19" s="80" t="str">
        <f>IF(H19=SUM(H19,F19),"",SUM(H19,F19))</f>
        <v/>
      </c>
      <c r="J19" s="79">
        <f>SUM(H19,E19:F19)</f>
        <v>0.10859999999999999</v>
      </c>
    </row>
    <row r="20" spans="1:10">
      <c r="A20" s="611"/>
      <c r="B20" s="78" t="s">
        <v>82</v>
      </c>
      <c r="C20" s="77">
        <f>IFERROR(INDEX(国保税率!$E:$E,MATCH($A$17,国保税率!$B:$B,0),1),0)</f>
        <v>27400</v>
      </c>
      <c r="D20" s="77">
        <f>IFERROR(INDEX(国保税率!$J:$J,MATCH($A$17,国保税率!$B:$B,0),1),0)</f>
        <v>9500</v>
      </c>
      <c r="E20" s="77">
        <f>IFERROR(INDEX(国保税率!$O:$O,MATCH($A$17,国保税率!$B:$B,0),1),0)</f>
        <v>11000</v>
      </c>
      <c r="F20" s="77" t="str">
        <f>IF(IFERROR(INDEX(国保税率!$S:$S,MATCH($A$17,国保税率!$B:$B,0),1),0)=0,"-",IFERROR(INDEX(国保税率!$S:$S,MATCH($A$17,国保税率!$B:$B,0),1),0))</f>
        <v>-</v>
      </c>
      <c r="G20" s="614"/>
      <c r="H20" s="77">
        <f>C20+D20</f>
        <v>36900</v>
      </c>
      <c r="I20" s="77" t="str">
        <f t="shared" ref="I20:I23" si="4">IF(H20=SUM(H20,F20),"",SUM(H20,F20))</f>
        <v/>
      </c>
      <c r="J20" s="76">
        <f t="shared" ref="J20:J23" si="5">SUM(H20,E20:F20)</f>
        <v>47900</v>
      </c>
    </row>
    <row r="21" spans="1:10">
      <c r="A21" s="611"/>
      <c r="B21" s="78" t="s">
        <v>83</v>
      </c>
      <c r="C21" s="77">
        <f>IFERROR(INDEX(国保税率!$F:$F,MATCH($A$17,国保税率!$B:$B,0),1),0)</f>
        <v>20100</v>
      </c>
      <c r="D21" s="77">
        <f>IFERROR(INDEX(国保税率!$K:$K,MATCH($A$17,国保税率!$B:$B,0),1),0)</f>
        <v>6900</v>
      </c>
      <c r="E21" s="77">
        <f>IFERROR(INDEX(国保税率!$P:$P,MATCH($A$17,国保税率!$B:$B,0),1),0)</f>
        <v>5700</v>
      </c>
      <c r="F21" s="77" t="str">
        <f>IF(IFERROR(INDEX(国保税率!$T:$T,MATCH($A$17,国保税率!$B:$B,0),1),0)=0,"-",IFERROR(INDEX(国保税率!$T:$T,MATCH($A$17,国保税率!$B:$B,0),1),0))</f>
        <v>-</v>
      </c>
      <c r="G21" s="614"/>
      <c r="H21" s="77">
        <f>C21+D21</f>
        <v>27000</v>
      </c>
      <c r="I21" s="77" t="str">
        <f t="shared" si="4"/>
        <v/>
      </c>
      <c r="J21" s="76">
        <f t="shared" si="5"/>
        <v>32700</v>
      </c>
    </row>
    <row r="22" spans="1:10" ht="14.25" thickBot="1">
      <c r="A22" s="611"/>
      <c r="B22" s="249" t="s">
        <v>206</v>
      </c>
      <c r="C22" s="250"/>
      <c r="D22" s="250"/>
      <c r="E22" s="250"/>
      <c r="F22" s="250" t="str">
        <f>IF(IFERROR(INDEX(国保税率!$U:$U,MATCH($A$17,国保税率!$B:$B,0),1),0)=0,"-",IFERROR(INDEX(国保税率!$U:$U,MATCH($A$17,国保税率!$B:$B,0),1),0))</f>
        <v>-</v>
      </c>
      <c r="G22" s="614"/>
      <c r="H22" s="250"/>
      <c r="I22" s="250" t="str">
        <f t="shared" si="4"/>
        <v/>
      </c>
      <c r="J22" s="251">
        <f t="shared" si="5"/>
        <v>0</v>
      </c>
    </row>
    <row r="23" spans="1:10" ht="15" thickTop="1" thickBot="1">
      <c r="A23" s="612"/>
      <c r="B23" s="75" t="s">
        <v>19</v>
      </c>
      <c r="C23" s="74">
        <f>IFERROR(INDEX(国保税率!$G:$G,MATCH($A$17,国保税率!$B:$B,0),1),0)</f>
        <v>650000</v>
      </c>
      <c r="D23" s="74">
        <f>IFERROR(INDEX(国保税率!$L:$L,MATCH($A$17,国保税率!$B:$B,0),1),0)</f>
        <v>240000</v>
      </c>
      <c r="E23" s="74">
        <f>IFERROR(INDEX(国保税率!$Q:$Q,MATCH($A$17,国保税率!$B:$B,0),1),0)</f>
        <v>170000</v>
      </c>
      <c r="F23" s="74" t="str">
        <f>IF(IFERROR(INDEX(国保税率!$V:$V,MATCH($A$17,国保税率!$B:$B,0),1),0)=0,"-",IFERROR(INDEX(国保税率!$V:$V,MATCH($A$17,国保税率!$B:$B,0),1),0))</f>
        <v>-</v>
      </c>
      <c r="G23" s="615"/>
      <c r="H23" s="74">
        <f>C23+D23</f>
        <v>890000</v>
      </c>
      <c r="I23" s="74" t="str">
        <f t="shared" si="4"/>
        <v/>
      </c>
      <c r="J23" s="73">
        <f t="shared" si="5"/>
        <v>1060000</v>
      </c>
    </row>
    <row r="24" spans="1:10">
      <c r="A24" s="609" t="s">
        <v>208</v>
      </c>
      <c r="B24" s="609"/>
      <c r="C24" s="609"/>
      <c r="D24" s="609"/>
      <c r="E24" s="609"/>
      <c r="F24" s="609"/>
      <c r="G24" s="609"/>
      <c r="H24" s="609"/>
      <c r="I24" s="609"/>
      <c r="J24" s="609"/>
    </row>
    <row r="25" spans="1:10">
      <c r="A25" s="609" t="s">
        <v>209</v>
      </c>
      <c r="B25" s="609"/>
      <c r="C25" s="609"/>
      <c r="D25" s="609"/>
      <c r="E25" s="609"/>
      <c r="F25" s="609"/>
      <c r="G25" s="609"/>
      <c r="H25" s="609"/>
      <c r="I25" s="609"/>
      <c r="J25" s="609"/>
    </row>
  </sheetData>
  <mergeCells count="8">
    <mergeCell ref="A25:J25"/>
    <mergeCell ref="A24:J24"/>
    <mergeCell ref="A1:A7"/>
    <mergeCell ref="A9:A15"/>
    <mergeCell ref="A17:A23"/>
    <mergeCell ref="G2:G7"/>
    <mergeCell ref="G10:G15"/>
    <mergeCell ref="G18:G23"/>
  </mergeCells>
  <phoneticPr fontId="2"/>
  <dataValidations count="1">
    <dataValidation type="list" errorStyle="warning" allowBlank="1" showInputMessage="1" showErrorMessage="1" errorTitle="結果が表示されません。" error="リストから選択してください。" sqref="A1:A7 A9:A15 A17:A23" xr:uid="{E1BDB4A3-3F17-4FD5-9F48-BF9AEA3CD0C5}">
      <formula1>年度</formula1>
    </dataValidation>
  </dataValidations>
  <pageMargins left="0.31496062992125984" right="0.31496062992125984"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国保税率</vt:lpstr>
      <vt:lpstr>職員設定用</vt:lpstr>
      <vt:lpstr>国民健康保険税試算シート</vt:lpstr>
      <vt:lpstr>計算用</vt:lpstr>
      <vt:lpstr>目安表</vt:lpstr>
      <vt:lpstr>給与所得の源泉徴収票</vt:lpstr>
      <vt:lpstr>公的年金等の源泉徴収票</vt:lpstr>
      <vt:lpstr>確定申告書</vt:lpstr>
      <vt:lpstr>出力表</vt:lpstr>
      <vt:lpstr>リスト</vt:lpstr>
      <vt:lpstr>確定申告書!Print_Area</vt:lpstr>
      <vt:lpstr>給与所得の源泉徴収票!Print_Area</vt:lpstr>
      <vt:lpstr>計算用!Print_Area</vt:lpstr>
      <vt:lpstr>公的年金等の源泉徴収票!Print_Area</vt:lpstr>
      <vt:lpstr>国民健康保険税試算シート!Print_Area</vt:lpstr>
      <vt:lpstr>計算用!リスト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柘植幸則</dc:creator>
  <cp:lastModifiedBy>姫野 広大</cp:lastModifiedBy>
  <cp:lastPrinted>2026-02-13T05:19:48Z</cp:lastPrinted>
  <dcterms:created xsi:type="dcterms:W3CDTF">2016-03-28T01:48:37Z</dcterms:created>
  <dcterms:modified xsi:type="dcterms:W3CDTF">2026-03-27T01:27:52Z</dcterms:modified>
</cp:coreProperties>
</file>