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go.local\share\fs1\12会計課\01会計課\05出納係\係共通\★通年\公会計\3年度_公会計\14_公表用\全体\"/>
    </mc:Choice>
  </mc:AlternateContent>
  <bookViews>
    <workbookView xWindow="28680" yWindow="-120" windowWidth="29040" windowHeight="15840" firstSheet="3" activeTab="4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22" r:id="rId3"/>
    <sheet name="1.(1)④基金の明細" sheetId="2" r:id="rId4"/>
    <sheet name="1.(1)⑤貸付金の明細" sheetId="3" r:id="rId5"/>
    <sheet name="1.(1)⑥長期延滞債権の明細⑦未収金の明細" sheetId="5" r:id="rId6"/>
    <sheet name="1.(2)①地方債等（借入先別）の明細" sheetId="6" r:id="rId7"/>
    <sheet name="1.(2)②③④地方債等（利率別・返済期間別・契約条項）" sheetId="7" r:id="rId8"/>
    <sheet name="1.(2)⑤引当金の明細" sheetId="10" r:id="rId9"/>
    <sheet name="2.(1)補助金等の明細" sheetId="11" r:id="rId10"/>
    <sheet name="3.(1)財源の明細" sheetId="13" r:id="rId11"/>
    <sheet name="3.(2)財源情報の明細" sheetId="21" r:id="rId12"/>
    <sheet name="4.(1)資金の明細" sheetId="12" r:id="rId13"/>
  </sheets>
  <definedNames>
    <definedName name="_xlnm._FilterDatabase" localSheetId="10" hidden="1">'3.(1)財源の明細'!$A$3:$E$60</definedName>
    <definedName name="_xlnm.Print_Area" localSheetId="6">'1.(2)①地方債等（借入先別）の明細'!$A$1:$K$17</definedName>
    <definedName name="_xlnm.Print_Area" localSheetId="10">'3.(1)財源の明細'!$A$1:$F$61</definedName>
    <definedName name="_xlnm.Print_Area" localSheetId="11">'3.(2)財源情報の明細'!$A$1:$H$9</definedName>
    <definedName name="_xlnm.Print_Titles" localSheetId="0">'1.(1)①有形固定資産の明細'!$5:$6</definedName>
    <definedName name="_xlnm.Print_Titles" localSheetId="1">'1.(1)②有形固定資産に係る行政目的別の明細'!$2:$3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3" l="1"/>
  <c r="E58" i="13" l="1"/>
  <c r="B17" i="19" l="1"/>
  <c r="B7" i="19"/>
  <c r="B24" i="19" s="1"/>
  <c r="D16" i="11"/>
  <c r="D20" i="20" l="1"/>
  <c r="B20" i="20" l="1"/>
  <c r="F17" i="20" l="1"/>
  <c r="F16" i="20"/>
  <c r="F15" i="20"/>
  <c r="B19" i="20" l="1"/>
  <c r="B15" i="20" l="1"/>
  <c r="B17" i="20"/>
  <c r="F23" i="19" l="1"/>
  <c r="F20" i="19"/>
  <c r="C11" i="6"/>
  <c r="G8" i="7" l="1"/>
  <c r="I8" i="7"/>
  <c r="H8" i="7"/>
  <c r="F8" i="7"/>
  <c r="E8" i="7"/>
  <c r="D8" i="7"/>
  <c r="C8" i="7"/>
  <c r="B8" i="7"/>
  <c r="C3" i="7" l="1"/>
  <c r="A3" i="7" l="1"/>
  <c r="G20" i="19" l="1"/>
  <c r="B3" i="7"/>
  <c r="C6" i="10" l="1"/>
  <c r="D11" i="6" l="1"/>
  <c r="E11" i="6" l="1"/>
  <c r="B11" i="6" s="1"/>
  <c r="K17" i="6" l="1"/>
  <c r="G17" i="6"/>
  <c r="F17" i="6"/>
  <c r="E17" i="6"/>
  <c r="D17" i="6"/>
  <c r="C17" i="6"/>
  <c r="B16" i="6"/>
  <c r="B14" i="6"/>
  <c r="B13" i="6"/>
  <c r="B12" i="6"/>
  <c r="B10" i="6"/>
  <c r="B9" i="6"/>
  <c r="B6" i="6"/>
  <c r="B17" i="6" l="1"/>
  <c r="E43" i="13"/>
  <c r="E19" i="13" l="1"/>
  <c r="E21" i="13" s="1"/>
  <c r="E31" i="13"/>
  <c r="E37" i="13"/>
  <c r="E35" i="13"/>
  <c r="D5" i="10" l="1"/>
  <c r="G23" i="19" l="1"/>
  <c r="D23" i="19" l="1"/>
  <c r="C23" i="19"/>
  <c r="C22" i="19" l="1"/>
  <c r="C20" i="19"/>
  <c r="C18" i="19"/>
  <c r="J17" i="22" l="1"/>
  <c r="J18" i="22"/>
  <c r="J19" i="22"/>
  <c r="J20" i="22"/>
  <c r="J21" i="22"/>
  <c r="J22" i="22"/>
  <c r="E20" i="22"/>
  <c r="F3" i="2" l="1"/>
  <c r="G10" i="2"/>
  <c r="F10" i="2"/>
  <c r="F11" i="2"/>
  <c r="G20" i="22"/>
  <c r="H20" i="22" s="1"/>
  <c r="G17" i="22" l="1"/>
  <c r="G18" i="22"/>
  <c r="G19" i="22"/>
  <c r="G21" i="22"/>
  <c r="G22" i="22"/>
  <c r="G10" i="19"/>
  <c r="E49" i="13" l="1"/>
  <c r="E6" i="21" l="1"/>
  <c r="E9" i="21"/>
  <c r="E53" i="13" l="1"/>
  <c r="E51" i="13"/>
  <c r="E54" i="13" l="1"/>
  <c r="E55" i="13" s="1"/>
  <c r="C5" i="21" l="1"/>
  <c r="D5" i="21"/>
  <c r="E7" i="21" l="1"/>
  <c r="E5" i="21" s="1"/>
  <c r="F5" i="21" s="1"/>
  <c r="B9" i="21"/>
  <c r="E29" i="13" l="1"/>
  <c r="E24" i="13"/>
  <c r="F4" i="10" l="1"/>
  <c r="F5" i="10"/>
  <c r="F6" i="10"/>
  <c r="F21" i="5" l="1"/>
  <c r="G21" i="5" l="1"/>
  <c r="C21" i="5" l="1"/>
  <c r="F9" i="2" l="1"/>
  <c r="F12" i="2"/>
  <c r="F13" i="2"/>
  <c r="G9" i="2"/>
  <c r="G8" i="2"/>
  <c r="F8" i="2"/>
  <c r="G7" i="2"/>
  <c r="F7" i="2"/>
  <c r="G6" i="2"/>
  <c r="F6" i="2"/>
  <c r="G5" i="2"/>
  <c r="F5" i="2"/>
  <c r="G4" i="2"/>
  <c r="F4" i="2"/>
  <c r="G3" i="2"/>
  <c r="E22" i="22"/>
  <c r="H22" i="22" s="1"/>
  <c r="H21" i="22"/>
  <c r="E19" i="22"/>
  <c r="H19" i="22" s="1"/>
  <c r="H18" i="22"/>
  <c r="E17" i="22"/>
  <c r="H17" i="22" s="1"/>
  <c r="J16" i="22"/>
  <c r="G16" i="22"/>
  <c r="E16" i="22"/>
  <c r="F14" i="2" l="1"/>
  <c r="H16" i="22"/>
  <c r="E22" i="19"/>
  <c r="B21" i="5" l="1"/>
  <c r="G14" i="2"/>
  <c r="K23" i="22"/>
  <c r="I23" i="22"/>
  <c r="F23" i="22"/>
  <c r="D23" i="22"/>
  <c r="C23" i="22"/>
  <c r="B23" i="22"/>
  <c r="J23" i="22"/>
  <c r="H23" i="22"/>
  <c r="E23" i="22"/>
  <c r="J12" i="22"/>
  <c r="I12" i="22"/>
  <c r="H12" i="22"/>
  <c r="F12" i="22"/>
  <c r="E12" i="22"/>
  <c r="D12" i="22"/>
  <c r="C12" i="22"/>
  <c r="B12" i="22"/>
  <c r="C4" i="20"/>
  <c r="B5" i="12" l="1"/>
  <c r="F9" i="21"/>
  <c r="E40" i="13"/>
  <c r="D17" i="11"/>
  <c r="D8" i="11"/>
  <c r="I20" i="20"/>
  <c r="D18" i="11" l="1"/>
  <c r="E57" i="13" l="1"/>
  <c r="E44" i="13" l="1"/>
  <c r="E33" i="13"/>
  <c r="E36" i="13" s="1"/>
  <c r="E27" i="13"/>
  <c r="E56" i="13" l="1"/>
  <c r="E59" i="13" s="1"/>
  <c r="E30" i="13"/>
  <c r="E25" i="13"/>
  <c r="B14" i="2" l="1"/>
  <c r="I15" i="20" l="1"/>
  <c r="D14" i="20"/>
  <c r="C14" i="20"/>
  <c r="C21" i="20" s="1"/>
  <c r="B14" i="20"/>
  <c r="I5" i="20" l="1"/>
  <c r="I6" i="20"/>
  <c r="I7" i="20"/>
  <c r="I8" i="20"/>
  <c r="I9" i="20"/>
  <c r="I10" i="20"/>
  <c r="I11" i="20"/>
  <c r="I12" i="20"/>
  <c r="I13" i="20"/>
  <c r="I16" i="20"/>
  <c r="I17" i="20"/>
  <c r="I18" i="20"/>
  <c r="I19" i="20"/>
  <c r="E14" i="20"/>
  <c r="F14" i="20"/>
  <c r="G14" i="20"/>
  <c r="H14" i="20"/>
  <c r="D4" i="20"/>
  <c r="E4" i="20"/>
  <c r="F4" i="20"/>
  <c r="G4" i="20"/>
  <c r="H4" i="20"/>
  <c r="B4" i="20"/>
  <c r="G17" i="19"/>
  <c r="G7" i="19"/>
  <c r="F17" i="19"/>
  <c r="F7" i="19"/>
  <c r="D17" i="19"/>
  <c r="I14" i="20" l="1"/>
  <c r="G24" i="19"/>
  <c r="B21" i="20"/>
  <c r="I4" i="20"/>
  <c r="F24" i="19"/>
  <c r="D21" i="20"/>
  <c r="H21" i="20"/>
  <c r="E21" i="20"/>
  <c r="G21" i="20"/>
  <c r="F21" i="20"/>
  <c r="D7" i="19"/>
  <c r="D24" i="19" s="1"/>
  <c r="I21" i="20" l="1"/>
  <c r="E8" i="19"/>
  <c r="H8" i="19" s="1"/>
  <c r="E9" i="19"/>
  <c r="H9" i="19" s="1"/>
  <c r="E10" i="19"/>
  <c r="H10" i="19" s="1"/>
  <c r="E11" i="19"/>
  <c r="H11" i="19" s="1"/>
  <c r="E12" i="19"/>
  <c r="H12" i="19" s="1"/>
  <c r="E13" i="19"/>
  <c r="H13" i="19" s="1"/>
  <c r="E14" i="19"/>
  <c r="H14" i="19" s="1"/>
  <c r="E15" i="19"/>
  <c r="H15" i="19" s="1"/>
  <c r="E16" i="19"/>
  <c r="H16" i="19" s="1"/>
  <c r="E18" i="19"/>
  <c r="H18" i="19" s="1"/>
  <c r="E19" i="19"/>
  <c r="H19" i="19" s="1"/>
  <c r="E20" i="19"/>
  <c r="H20" i="19" s="1"/>
  <c r="E21" i="19"/>
  <c r="H21" i="19" s="1"/>
  <c r="H22" i="19"/>
  <c r="E23" i="19"/>
  <c r="H23" i="19" s="1"/>
  <c r="C7" i="19"/>
  <c r="C17" i="19"/>
  <c r="E17" i="19" l="1"/>
  <c r="H17" i="19" s="1"/>
  <c r="E7" i="19"/>
  <c r="H7" i="19" s="1"/>
  <c r="C24" i="19"/>
  <c r="E24" i="19" l="1"/>
  <c r="H24" i="19" s="1"/>
  <c r="F6" i="3"/>
  <c r="F7" i="3"/>
  <c r="F5" i="3"/>
  <c r="E8" i="3" l="1"/>
  <c r="D8" i="3"/>
  <c r="C8" i="3"/>
  <c r="B8" i="3"/>
  <c r="F4" i="3"/>
  <c r="F8" i="3" l="1"/>
  <c r="D7" i="10" l="1"/>
  <c r="C7" i="10"/>
  <c r="F7" i="10" l="1"/>
</calcChain>
</file>

<file path=xl/sharedStrings.xml><?xml version="1.0" encoding="utf-8"?>
<sst xmlns="http://schemas.openxmlformats.org/spreadsheetml/2006/main" count="517" uniqueCount="272">
  <si>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</si>
  <si>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</si>
  <si>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</si>
  <si>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</si>
  <si>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</si>
  <si>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</si>
  <si>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</si>
  <si>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</si>
  <si>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</si>
  <si>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</si>
  <si>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</si>
  <si>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</si>
  <si>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</si>
  <si>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</si>
  <si>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</si>
  <si>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</si>
  <si>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</si>
  <si>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</si>
  <si>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</si>
  <si>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</si>
  <si>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</si>
  <si>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</si>
  <si>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</si>
  <si>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</si>
  <si>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(単位：円)</t>
    <rPh sb="4" eb="5">
      <t>エン</t>
    </rPh>
    <phoneticPr fontId="1"/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</si>
  <si>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</si>
  <si>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</si>
  <si>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</si>
  <si>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</si>
  <si>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</si>
  <si>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</si>
  <si>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</si>
  <si>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</si>
  <si>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</si>
  <si>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</si>
  <si>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</si>
  <si>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</si>
  <si>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</si>
  <si>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小計</t>
  </si>
  <si>
    <t>固定資産税</t>
  </si>
  <si>
    <t>軽自動車税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</si>
  <si>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</si>
  <si>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</si>
  <si>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</si>
  <si>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</si>
  <si>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</si>
  <si>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</si>
  <si>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</si>
  <si>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</si>
  <si>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</si>
  <si>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</si>
  <si>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</si>
  <si>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</si>
  <si>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</si>
  <si>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</si>
  <si>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</si>
  <si>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</si>
  <si>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</si>
  <si>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</si>
  <si>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</si>
  <si>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</si>
  <si>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</si>
  <si>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</si>
  <si>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</si>
  <si>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</si>
  <si>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</si>
  <si>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</si>
  <si>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</si>
  <si>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</si>
  <si>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</si>
  <si>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</si>
  <si>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</si>
  <si>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</si>
  <si>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</si>
  <si>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</si>
  <si>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</si>
  <si>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</si>
  <si>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</si>
  <si>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</si>
  <si>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</si>
  <si>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</si>
  <si>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</si>
  <si>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</si>
  <si>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</si>
  <si>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</si>
  <si>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</si>
  <si>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</si>
  <si>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</si>
  <si>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</si>
  <si>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</si>
  <si>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</si>
  <si>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</si>
  <si>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</si>
  <si>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</si>
  <si>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</si>
  <si>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</si>
  <si>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</si>
  <si>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</si>
  <si>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</si>
  <si>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（単位：円）</t>
  </si>
  <si>
    <t>純行政コスト</t>
  </si>
  <si>
    <t>国庫支出金</t>
    <rPh sb="0" eb="5">
      <t>コッコシシュツキン</t>
    </rPh>
    <phoneticPr fontId="1"/>
  </si>
  <si>
    <t>県支出金</t>
    <rPh sb="0" eb="4">
      <t>ケンシシュツキン</t>
    </rPh>
    <phoneticPr fontId="1"/>
  </si>
  <si>
    <t>(単位：円)</t>
    <rPh sb="4" eb="5">
      <t>エン</t>
    </rPh>
    <phoneticPr fontId="1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</si>
  <si>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</si>
  <si>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</si>
  <si>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</si>
  <si>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</si>
  <si>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</si>
  <si>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</si>
  <si>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</si>
  <si>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</si>
  <si>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</si>
  <si>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</si>
  <si>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</si>
  <si>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</si>
  <si>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</si>
  <si>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</si>
  <si>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</si>
  <si>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</si>
  <si>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</si>
  <si>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</si>
  <si>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</si>
  <si>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</si>
  <si>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</si>
  <si>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</si>
  <si>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</si>
  <si>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</si>
  <si>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</si>
  <si>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</si>
  <si>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</si>
  <si>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</si>
  <si>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</si>
  <si>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都市計画税</t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</si>
  <si>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</si>
  <si>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6"/>
  </si>
  <si>
    <t>財産運用収入</t>
    <rPh sb="0" eb="2">
      <t>ザイサン</t>
    </rPh>
    <rPh sb="2" eb="4">
      <t>ウンヨウ</t>
    </rPh>
    <rPh sb="4" eb="6">
      <t>シュウニュウ</t>
    </rPh>
    <phoneticPr fontId="7"/>
  </si>
  <si>
    <t>諸収入（雑入）</t>
    <rPh sb="0" eb="3">
      <t>ショシュウニュウ</t>
    </rPh>
    <rPh sb="4" eb="6">
      <t>ザツニュウ</t>
    </rPh>
    <phoneticPr fontId="8"/>
  </si>
  <si>
    <t>　その他</t>
    <phoneticPr fontId="1"/>
  </si>
  <si>
    <t>　その他</t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</si>
  <si>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</si>
  <si>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(単位：千円)</t>
    <rPh sb="4" eb="5">
      <t>セン</t>
    </rPh>
    <rPh sb="5" eb="6">
      <t>エン</t>
    </rPh>
    <phoneticPr fontId="1"/>
  </si>
  <si>
    <t>－</t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</si>
  <si>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</si>
  <si>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</si>
  <si>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"/>
  </si>
  <si>
    <t>地域福祉基金</t>
    <rPh sb="0" eb="2">
      <t>チイキ</t>
    </rPh>
    <rPh sb="2" eb="4">
      <t>フクシ</t>
    </rPh>
    <rPh sb="4" eb="6">
      <t>キキン</t>
    </rPh>
    <phoneticPr fontId="1"/>
  </si>
  <si>
    <t>図書館整備基金</t>
    <rPh sb="0" eb="3">
      <t>トショカン</t>
    </rPh>
    <rPh sb="3" eb="5">
      <t>セイビ</t>
    </rPh>
    <rPh sb="5" eb="7">
      <t>キキン</t>
    </rPh>
    <phoneticPr fontId="1"/>
  </si>
  <si>
    <t>土地開発基金</t>
    <rPh sb="0" eb="2">
      <t>トチ</t>
    </rPh>
    <rPh sb="2" eb="4">
      <t>カイハツ</t>
    </rPh>
    <rPh sb="4" eb="6">
      <t>キキン</t>
    </rPh>
    <phoneticPr fontId="1"/>
  </si>
  <si>
    <t>※土地開発基金のうち、土地について、財産に関する調書では面積（2,783.89㎡）で記載している。</t>
    <rPh sb="1" eb="3">
      <t>トチ</t>
    </rPh>
    <rPh sb="3" eb="5">
      <t>カイハツ</t>
    </rPh>
    <rPh sb="5" eb="7">
      <t>キキン</t>
    </rPh>
    <rPh sb="11" eb="13">
      <t>トチ</t>
    </rPh>
    <rPh sb="18" eb="20">
      <t>ザイサン</t>
    </rPh>
    <rPh sb="21" eb="22">
      <t>カン</t>
    </rPh>
    <rPh sb="24" eb="26">
      <t>チョウショ</t>
    </rPh>
    <rPh sb="28" eb="30">
      <t>メンセキ</t>
    </rPh>
    <rPh sb="42" eb="44">
      <t>キサイ</t>
    </rPh>
    <phoneticPr fontId="1"/>
  </si>
  <si>
    <t>町民税（個人）</t>
    <rPh sb="0" eb="1">
      <t>マチ</t>
    </rPh>
    <phoneticPr fontId="5"/>
  </si>
  <si>
    <t>町民税（法人）</t>
    <rPh sb="0" eb="1">
      <t>マチ</t>
    </rPh>
    <phoneticPr fontId="5"/>
  </si>
  <si>
    <t>税等未収金</t>
    <rPh sb="0" eb="1">
      <t>ゼイ</t>
    </rPh>
    <rPh sb="1" eb="2">
      <t>トウ</t>
    </rPh>
    <rPh sb="2" eb="5">
      <t>ミシュウキン</t>
    </rPh>
    <phoneticPr fontId="1"/>
  </si>
  <si>
    <t>その他の未収金</t>
    <rPh sb="2" eb="3">
      <t>タ</t>
    </rPh>
    <rPh sb="4" eb="7">
      <t>ミシュウキン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</si>
  <si>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</si>
  <si>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</si>
  <si>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徴収不能引当金</t>
    <rPh sb="0" eb="2">
      <t>チョウシュウ</t>
    </rPh>
    <rPh sb="2" eb="4">
      <t>フノウ</t>
    </rPh>
    <rPh sb="4" eb="7">
      <t>ヒキアテキン</t>
    </rPh>
    <phoneticPr fontId="1"/>
  </si>
  <si>
    <t>－</t>
    <phoneticPr fontId="1"/>
  </si>
  <si>
    <t>尾三消防組合</t>
    <rPh sb="0" eb="2">
      <t>ビサン</t>
    </rPh>
    <rPh sb="2" eb="4">
      <t>ショウボウ</t>
    </rPh>
    <rPh sb="4" eb="6">
      <t>クミアイ</t>
    </rPh>
    <phoneticPr fontId="1"/>
  </si>
  <si>
    <t>尾三消防組合負担金</t>
    <rPh sb="0" eb="2">
      <t>ビサン</t>
    </rPh>
    <rPh sb="2" eb="4">
      <t>ショウボウ</t>
    </rPh>
    <rPh sb="4" eb="6">
      <t>クミアイ</t>
    </rPh>
    <rPh sb="6" eb="9">
      <t>フタンキン</t>
    </rPh>
    <phoneticPr fontId="1"/>
  </si>
  <si>
    <t>尾三衛生組合負担金</t>
    <rPh sb="0" eb="2">
      <t>ビサン</t>
    </rPh>
    <rPh sb="2" eb="4">
      <t>エイセイ</t>
    </rPh>
    <rPh sb="4" eb="6">
      <t>クミアイ</t>
    </rPh>
    <rPh sb="6" eb="9">
      <t>フタンキン</t>
    </rPh>
    <phoneticPr fontId="1"/>
  </si>
  <si>
    <t>私立幼稚園就園奨励費補助金</t>
    <rPh sb="0" eb="2">
      <t>シリツ</t>
    </rPh>
    <rPh sb="2" eb="5">
      <t>ヨウチエン</t>
    </rPh>
    <rPh sb="5" eb="7">
      <t>シュウエン</t>
    </rPh>
    <rPh sb="7" eb="9">
      <t>ショウレイ</t>
    </rPh>
    <rPh sb="9" eb="10">
      <t>ヒ</t>
    </rPh>
    <rPh sb="10" eb="13">
      <t>ホジョキン</t>
    </rPh>
    <phoneticPr fontId="1"/>
  </si>
  <si>
    <t>学校法人等</t>
    <rPh sb="0" eb="2">
      <t>ガッコウ</t>
    </rPh>
    <rPh sb="2" eb="4">
      <t>ホウジン</t>
    </rPh>
    <rPh sb="4" eb="5">
      <t>トウ</t>
    </rPh>
    <phoneticPr fontId="1"/>
  </si>
  <si>
    <t>その他</t>
    <rPh sb="2" eb="3">
      <t>タ</t>
    </rPh>
    <phoneticPr fontId="1"/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</si>
  <si>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1"/>
  </si>
  <si>
    <t>一部事務組合に対する負担</t>
    <rPh sb="0" eb="2">
      <t>イチブ</t>
    </rPh>
    <rPh sb="2" eb="4">
      <t>ジム</t>
    </rPh>
    <rPh sb="4" eb="6">
      <t>クミアイ</t>
    </rPh>
    <rPh sb="7" eb="8">
      <t>タイ</t>
    </rPh>
    <rPh sb="10" eb="12">
      <t>フタン</t>
    </rPh>
    <phoneticPr fontId="1"/>
  </si>
  <si>
    <t>広域連合に対する負担</t>
    <rPh sb="0" eb="2">
      <t>コウイキ</t>
    </rPh>
    <rPh sb="2" eb="4">
      <t>レンゴウ</t>
    </rPh>
    <phoneticPr fontId="1"/>
  </si>
  <si>
    <t>民間保育所運営給付費</t>
    <rPh sb="0" eb="2">
      <t>ミンカン</t>
    </rPh>
    <rPh sb="4" eb="5">
      <t>ショ</t>
    </rPh>
    <rPh sb="7" eb="9">
      <t>キュウフ</t>
    </rPh>
    <rPh sb="9" eb="10">
      <t>ヒ</t>
    </rPh>
    <phoneticPr fontId="1"/>
  </si>
  <si>
    <t>民間保育所運営に対する給付</t>
    <rPh sb="8" eb="9">
      <t>タイ</t>
    </rPh>
    <rPh sb="11" eb="13">
      <t>キュウフ</t>
    </rPh>
    <phoneticPr fontId="1"/>
  </si>
  <si>
    <t>私立幼稚園利用者の授業料に対する補助</t>
    <rPh sb="0" eb="2">
      <t>シリツ</t>
    </rPh>
    <rPh sb="2" eb="5">
      <t>ヨウチエン</t>
    </rPh>
    <rPh sb="5" eb="8">
      <t>リヨウシャ</t>
    </rPh>
    <rPh sb="9" eb="12">
      <t>ジュギョウリョウ</t>
    </rPh>
    <rPh sb="13" eb="14">
      <t>タイ</t>
    </rPh>
    <rPh sb="16" eb="18">
      <t>ホジョ</t>
    </rPh>
    <phoneticPr fontId="1"/>
  </si>
  <si>
    <t>一般会計</t>
    <rPh sb="0" eb="2">
      <t>イッパン</t>
    </rPh>
    <rPh sb="2" eb="4">
      <t>カイケイ</t>
    </rPh>
    <phoneticPr fontId="1"/>
  </si>
  <si>
    <t>地方税</t>
    <rPh sb="0" eb="3">
      <t>チホウゼイ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</si>
  <si>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</si>
  <si>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</si>
  <si>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</si>
  <si>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国民健康保険財政調整基金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チョウセイ</t>
    </rPh>
    <rPh sb="10" eb="12">
      <t>キキン</t>
    </rPh>
    <phoneticPr fontId="1"/>
  </si>
  <si>
    <t>国民健康保険東郷診療所財政調整基金</t>
    <rPh sb="0" eb="2">
      <t>コクミン</t>
    </rPh>
    <rPh sb="2" eb="4">
      <t>ケンコウ</t>
    </rPh>
    <rPh sb="4" eb="6">
      <t>ホケン</t>
    </rPh>
    <rPh sb="6" eb="8">
      <t>トウゴウ</t>
    </rPh>
    <rPh sb="8" eb="11">
      <t>シンリョウジョ</t>
    </rPh>
    <rPh sb="11" eb="13">
      <t>ザイセイ</t>
    </rPh>
    <rPh sb="13" eb="15">
      <t>チョウセイ</t>
    </rPh>
    <rPh sb="15" eb="17">
      <t>キキン</t>
    </rPh>
    <phoneticPr fontId="1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</si>
  <si>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"/>
  </si>
  <si>
    <t>－</t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</si>
  <si>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</si>
  <si>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後期高齢者医療保険料</t>
    <phoneticPr fontId="1"/>
  </si>
  <si>
    <t>介護保険料</t>
    <rPh sb="0" eb="2">
      <t>カイゴ</t>
    </rPh>
    <rPh sb="2" eb="4">
      <t>ホケン</t>
    </rPh>
    <rPh sb="4" eb="5">
      <t>リョウ</t>
    </rPh>
    <phoneticPr fontId="1"/>
  </si>
  <si>
    <t>保険特別会計</t>
    <rPh sb="0" eb="2">
      <t>ホケン</t>
    </rPh>
    <rPh sb="2" eb="4">
      <t>トクベツ</t>
    </rPh>
    <rPh sb="4" eb="6">
      <t>カイケイ</t>
    </rPh>
    <phoneticPr fontId="1"/>
  </si>
  <si>
    <t>特別会計における保険料の支出</t>
    <rPh sb="0" eb="2">
      <t>トクベツ</t>
    </rPh>
    <rPh sb="2" eb="4">
      <t>カイケイ</t>
    </rPh>
    <rPh sb="8" eb="10">
      <t>ホケン</t>
    </rPh>
    <rPh sb="10" eb="11">
      <t>リョウ</t>
    </rPh>
    <rPh sb="12" eb="14">
      <t>シシュツ</t>
    </rPh>
    <phoneticPr fontId="1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</si>
  <si>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1"/>
  </si>
  <si>
    <t>繰入金</t>
    <rPh sb="0" eb="2">
      <t>クリイレ</t>
    </rPh>
    <rPh sb="2" eb="3">
      <t>キン</t>
    </rPh>
    <phoneticPr fontId="1"/>
  </si>
  <si>
    <t>国県等補助金</t>
    <phoneticPr fontId="1"/>
  </si>
  <si>
    <t>国民健康保険
東郷診療所特別会計</t>
    <rPh sb="0" eb="2">
      <t>コクミン</t>
    </rPh>
    <rPh sb="2" eb="4">
      <t>ケンコウ</t>
    </rPh>
    <rPh sb="4" eb="6">
      <t>ホケン</t>
    </rPh>
    <rPh sb="7" eb="9">
      <t>トウゴウ</t>
    </rPh>
    <rPh sb="9" eb="12">
      <t>シンリョウジョ</t>
    </rPh>
    <rPh sb="12" eb="14">
      <t>トクベツ</t>
    </rPh>
    <rPh sb="14" eb="16">
      <t>カイケイ</t>
    </rPh>
    <phoneticPr fontId="1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</si>
  <si>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1"/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</si>
  <si>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1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</si>
  <si>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1"/>
  </si>
  <si>
    <t>単純合計</t>
    <rPh sb="0" eb="2">
      <t>タンジュン</t>
    </rPh>
    <rPh sb="2" eb="4">
      <t>ゴウケイ</t>
    </rPh>
    <phoneticPr fontId="1"/>
  </si>
  <si>
    <t>税収等</t>
    <phoneticPr fontId="1"/>
  </si>
  <si>
    <t>国県等補助金</t>
    <phoneticPr fontId="1"/>
  </si>
  <si>
    <t>相殺消去</t>
    <rPh sb="0" eb="2">
      <t>ソウサイ</t>
    </rPh>
    <rPh sb="2" eb="4">
      <t>ショウキョ</t>
    </rPh>
    <phoneticPr fontId="1"/>
  </si>
  <si>
    <t>合計</t>
    <rPh sb="0" eb="2">
      <t>ゴウケイ</t>
    </rPh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</si>
  <si>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</si>
  <si>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附属明細書</t>
    <rPh sb="0" eb="2">
      <t>フゾク</t>
    </rPh>
    <rPh sb="2" eb="5">
      <t>メイサイショ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</si>
  <si>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</si>
  <si>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</si>
  <si>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（単位：円）</t>
    <phoneticPr fontId="1"/>
  </si>
  <si>
    <t>①有形固定資産の明細</t>
    <phoneticPr fontId="1"/>
  </si>
  <si>
    <t>②有形固定資産に係る行政目的別の明細</t>
    <phoneticPr fontId="1"/>
  </si>
  <si>
    <t>④基金の明細</t>
    <phoneticPr fontId="1"/>
  </si>
  <si>
    <t>⑤貸付金の明細</t>
    <phoneticPr fontId="1"/>
  </si>
  <si>
    <t>⑥長期延滞債権の明細</t>
    <phoneticPr fontId="1"/>
  </si>
  <si>
    <t>⑦未収金の明細</t>
    <phoneticPr fontId="1"/>
  </si>
  <si>
    <t>①地方債等（借入先別）の明細</t>
    <phoneticPr fontId="1"/>
  </si>
  <si>
    <t>（２）負債項目の明細</t>
    <rPh sb="3" eb="5">
      <t>フサイ</t>
    </rPh>
    <rPh sb="5" eb="7">
      <t>コウモク</t>
    </rPh>
    <rPh sb="8" eb="10">
      <t>メイサイ</t>
    </rPh>
    <phoneticPr fontId="1"/>
  </si>
  <si>
    <t>⑤引当金の明細</t>
    <phoneticPr fontId="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</si>
  <si>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</si>
  <si>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（１）補助金等の明細</t>
    <phoneticPr fontId="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</si>
  <si>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</si>
  <si>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（１）財源の明細</t>
    <phoneticPr fontId="1"/>
  </si>
  <si>
    <t>（２）財源情報の明細</t>
    <phoneticPr fontId="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</si>
  <si>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"/>
  </si>
  <si>
    <t>②地方債等（利率別）の明細</t>
    <phoneticPr fontId="1"/>
  </si>
  <si>
    <t>④特定の契約条項が付された地方債の概要</t>
    <phoneticPr fontId="1"/>
  </si>
  <si>
    <t>特定の契約条項が_x000D_
付された地方債残高</t>
    <phoneticPr fontId="1"/>
  </si>
  <si>
    <t>-</t>
    <phoneticPr fontId="1"/>
  </si>
  <si>
    <t>東郷中央区画整理事業助成金</t>
    <rPh sb="0" eb="2">
      <t>トウゴウ</t>
    </rPh>
    <rPh sb="2" eb="4">
      <t>チュウオウ</t>
    </rPh>
    <rPh sb="4" eb="6">
      <t>クカク</t>
    </rPh>
    <rPh sb="6" eb="8">
      <t>セイリ</t>
    </rPh>
    <rPh sb="8" eb="10">
      <t>ジギョウ</t>
    </rPh>
    <rPh sb="10" eb="12">
      <t>ジョセイ</t>
    </rPh>
    <rPh sb="12" eb="13">
      <t>キン</t>
    </rPh>
    <phoneticPr fontId="1"/>
  </si>
  <si>
    <t>東郷中央土地区画整理組合</t>
    <rPh sb="0" eb="2">
      <t>トウゴウ</t>
    </rPh>
    <rPh sb="2" eb="4">
      <t>チュウオウ</t>
    </rPh>
    <rPh sb="4" eb="6">
      <t>トチ</t>
    </rPh>
    <rPh sb="6" eb="8">
      <t>クカク</t>
    </rPh>
    <rPh sb="8" eb="10">
      <t>セイリ</t>
    </rPh>
    <rPh sb="10" eb="12">
      <t>クミアイ</t>
    </rPh>
    <phoneticPr fontId="1"/>
  </si>
  <si>
    <t>区画整理事業に対する補助</t>
    <rPh sb="0" eb="2">
      <t>クカク</t>
    </rPh>
    <rPh sb="2" eb="4">
      <t>セイリ</t>
    </rPh>
    <rPh sb="4" eb="6">
      <t>ジギョウ</t>
    </rPh>
    <rPh sb="7" eb="8">
      <t>タイ</t>
    </rPh>
    <rPh sb="10" eb="12">
      <t>ホジョ</t>
    </rPh>
    <phoneticPr fontId="1"/>
  </si>
  <si>
    <t>合計</t>
    <phoneticPr fontId="1"/>
  </si>
  <si>
    <t>分担金及び負担金</t>
    <phoneticPr fontId="1"/>
  </si>
  <si>
    <t>国県等補助金</t>
    <phoneticPr fontId="1"/>
  </si>
  <si>
    <t>（１）資金の明細</t>
    <phoneticPr fontId="1"/>
  </si>
  <si>
    <t>現金・要求払預金</t>
    <rPh sb="0" eb="2">
      <t>ゲンキン</t>
    </rPh>
    <rPh sb="3" eb="5">
      <t>ヨウキュウ</t>
    </rPh>
    <rPh sb="5" eb="6">
      <t>ハラ</t>
    </rPh>
    <rPh sb="6" eb="8">
      <t>ヨキン</t>
    </rPh>
    <phoneticPr fontId="1"/>
  </si>
  <si>
    <t>③投資及び出資金の明細</t>
    <phoneticPr fontId="1"/>
  </si>
  <si>
    <t>東郷町施設サービス株式会社</t>
    <rPh sb="0" eb="3">
      <t>トウゴウチョウ</t>
    </rPh>
    <rPh sb="3" eb="5">
      <t>シセツ</t>
    </rPh>
    <rPh sb="9" eb="13">
      <t>カブシキガイシャ</t>
    </rPh>
    <phoneticPr fontId="1"/>
  </si>
  <si>
    <t>（公財）愛知県国際交流協会出捐金</t>
    <rPh sb="1" eb="2">
      <t>コウ</t>
    </rPh>
    <rPh sb="2" eb="3">
      <t>ザイ</t>
    </rPh>
    <rPh sb="4" eb="7">
      <t>アイチケン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12"/>
  </si>
  <si>
    <t>（一財）地域活性化センター基本財産出捐金</t>
    <rPh sb="1" eb="2">
      <t>イチ</t>
    </rPh>
    <rPh sb="2" eb="3">
      <t>ザイ</t>
    </rPh>
    <rPh sb="4" eb="6">
      <t>チイキ</t>
    </rPh>
    <rPh sb="6" eb="9">
      <t>カッセイカ</t>
    </rPh>
    <rPh sb="13" eb="15">
      <t>キホン</t>
    </rPh>
    <rPh sb="15" eb="17">
      <t>ザイサン</t>
    </rPh>
    <phoneticPr fontId="12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</si>
  <si>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3"/>
  </si>
  <si>
    <t>（公財）暴力追放愛知県民会議出捐金</t>
    <rPh sb="4" eb="6">
      <t>ボウリョク</t>
    </rPh>
    <rPh sb="6" eb="8">
      <t>ツイホウ</t>
    </rPh>
    <rPh sb="8" eb="10">
      <t>アイチ</t>
    </rPh>
    <rPh sb="10" eb="12">
      <t>ケンミン</t>
    </rPh>
    <rPh sb="12" eb="14">
      <t>カイギ</t>
    </rPh>
    <phoneticPr fontId="8"/>
  </si>
  <si>
    <t>町たばこ税</t>
    <rPh sb="0" eb="1">
      <t>マチ</t>
    </rPh>
    <rPh sb="4" eb="5">
      <t>ゼイ</t>
    </rPh>
    <phoneticPr fontId="1"/>
  </si>
  <si>
    <t>－</t>
  </si>
  <si>
    <t>③地方債等（返済期間別）の明細</t>
    <phoneticPr fontId="1"/>
  </si>
  <si>
    <t>支払基金交付金</t>
    <rPh sb="0" eb="2">
      <t>シハライ</t>
    </rPh>
    <rPh sb="2" eb="4">
      <t>キキン</t>
    </rPh>
    <rPh sb="4" eb="7">
      <t>コウフキン</t>
    </rPh>
    <phoneticPr fontId="1"/>
  </si>
  <si>
    <t>県支出金</t>
    <rPh sb="0" eb="1">
      <t>ケン</t>
    </rPh>
    <rPh sb="1" eb="4">
      <t>シシュツキン</t>
    </rPh>
    <phoneticPr fontId="1"/>
  </si>
  <si>
    <t>計</t>
    <phoneticPr fontId="1"/>
  </si>
  <si>
    <t>尾張土地開発公社</t>
    <rPh sb="0" eb="2">
      <t>オワリ</t>
    </rPh>
    <rPh sb="2" eb="4">
      <t>トチ</t>
    </rPh>
    <rPh sb="4" eb="6">
      <t>カイハツ</t>
    </rPh>
    <rPh sb="6" eb="8">
      <t>コウシャ</t>
    </rPh>
    <phoneticPr fontId="13"/>
  </si>
  <si>
    <t>－</t>
    <phoneticPr fontId="1"/>
  </si>
  <si>
    <t>－</t>
    <phoneticPr fontId="1"/>
  </si>
  <si>
    <t>－</t>
    <phoneticPr fontId="1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</si>
  <si>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1"/>
  </si>
  <si>
    <t>県道名古屋春木線建設事業負担金</t>
  </si>
  <si>
    <t>愛知県</t>
  </si>
  <si>
    <t>県道名古屋春木線建設費に対する負担</t>
  </si>
  <si>
    <t>療養給付費負担金</t>
  </si>
  <si>
    <t>愛知県後期高齢者医療広域連合</t>
  </si>
  <si>
    <t>一部事務組合に対する負担</t>
  </si>
  <si>
    <t>税収等</t>
    <phoneticPr fontId="1"/>
  </si>
  <si>
    <t>合計</t>
    <phoneticPr fontId="1"/>
  </si>
  <si>
    <t>小計</t>
    <phoneticPr fontId="1"/>
  </si>
  <si>
    <t>資本的_x000D_
補助金</t>
    <rPh sb="0" eb="2">
      <t>シホン</t>
    </rPh>
    <phoneticPr fontId="1"/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</si>
  <si>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</si>
  <si>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長期前受金戻入</t>
    <rPh sb="0" eb="5">
      <t>チョウキマエウケキン</t>
    </rPh>
    <rPh sb="5" eb="7">
      <t>モドシイレ</t>
    </rPh>
    <phoneticPr fontId="1"/>
  </si>
  <si>
    <t>他会計補助金</t>
    <rPh sb="0" eb="1">
      <t>タ</t>
    </rPh>
    <rPh sb="1" eb="3">
      <t>カイケイ</t>
    </rPh>
    <rPh sb="3" eb="6">
      <t>ホジョキン</t>
    </rPh>
    <phoneticPr fontId="1"/>
  </si>
  <si>
    <t>他会計出資金</t>
    <rPh sb="0" eb="1">
      <t>タ</t>
    </rPh>
    <rPh sb="1" eb="3">
      <t>カイケイ</t>
    </rPh>
    <rPh sb="3" eb="6">
      <t>シュッシキン</t>
    </rPh>
    <phoneticPr fontId="1"/>
  </si>
  <si>
    <t>他会計負担金</t>
    <rPh sb="0" eb="1">
      <t>タ</t>
    </rPh>
    <rPh sb="1" eb="3">
      <t>カイケイ</t>
    </rPh>
    <rPh sb="3" eb="6">
      <t>フタンキン</t>
    </rPh>
    <phoneticPr fontId="1"/>
  </si>
  <si>
    <t>長期前受金戻入</t>
    <rPh sb="0" eb="7">
      <t>チョウキマエウケキンモドシイレ</t>
    </rPh>
    <phoneticPr fontId="1"/>
  </si>
  <si>
    <t>小計</t>
    <rPh sb="0" eb="2">
      <t>ショウケイ</t>
    </rPh>
    <phoneticPr fontId="1"/>
  </si>
  <si>
    <t>（公財）愛知県スポーツ協会出捐金</t>
    <rPh sb="4" eb="7">
      <t>アイチケン</t>
    </rPh>
    <rPh sb="11" eb="13">
      <t>キョウカイ</t>
    </rPh>
    <rPh sb="12" eb="13">
      <t>タイキョウ</t>
    </rPh>
    <phoneticPr fontId="12"/>
  </si>
  <si>
    <t>（公財）愛知水と緑の公社</t>
    <rPh sb="4" eb="6">
      <t>アイチ</t>
    </rPh>
    <rPh sb="6" eb="7">
      <t>ミズ</t>
    </rPh>
    <rPh sb="8" eb="9">
      <t>ミドリ</t>
    </rPh>
    <rPh sb="10" eb="12">
      <t>コウシャ</t>
    </rPh>
    <phoneticPr fontId="5"/>
  </si>
  <si>
    <t>新型コロナウイルス感染症対策基金</t>
    <rPh sb="0" eb="2">
      <t>シンガタ</t>
    </rPh>
    <rPh sb="9" eb="12">
      <t>カンセンショウ</t>
    </rPh>
    <rPh sb="12" eb="14">
      <t>タイサク</t>
    </rPh>
    <rPh sb="14" eb="16">
      <t>キキン</t>
    </rPh>
    <phoneticPr fontId="1"/>
  </si>
  <si>
    <t>－</t>
    <phoneticPr fontId="1"/>
  </si>
  <si>
    <t>民間保育所等改修費等補助金</t>
    <rPh sb="0" eb="2">
      <t>ミンカン</t>
    </rPh>
    <rPh sb="4" eb="5">
      <t>ショ</t>
    </rPh>
    <rPh sb="5" eb="6">
      <t>トウ</t>
    </rPh>
    <rPh sb="6" eb="8">
      <t>カイシュウ</t>
    </rPh>
    <rPh sb="8" eb="9">
      <t>ヒ</t>
    </rPh>
    <rPh sb="9" eb="10">
      <t>トウ</t>
    </rPh>
    <rPh sb="10" eb="13">
      <t>ホジョキン</t>
    </rPh>
    <phoneticPr fontId="1"/>
  </si>
  <si>
    <t>学校法人</t>
    <rPh sb="0" eb="4">
      <t>ガッコウホウジン</t>
    </rPh>
    <phoneticPr fontId="1"/>
  </si>
  <si>
    <t>民間保育所改修費等に対する補助</t>
    <rPh sb="5" eb="8">
      <t>カイシュウヒ</t>
    </rPh>
    <rPh sb="8" eb="9">
      <t>トウ</t>
    </rPh>
    <rPh sb="13" eb="15">
      <t>ホジョ</t>
    </rPh>
    <phoneticPr fontId="1"/>
  </si>
  <si>
    <t>国支出金</t>
    <rPh sb="0" eb="1">
      <t>クニ</t>
    </rPh>
    <rPh sb="1" eb="4">
      <t>シシュツキン</t>
    </rPh>
    <phoneticPr fontId="1"/>
  </si>
  <si>
    <t>－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</si>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</sst>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.00000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9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u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2"/>
      <scheme val="minor"/>
    </font>
    <font>
      <b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3" fontId="2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10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left" vertical="center"/>
    </xf>
    <xf numFmtId="3" fontId="11" fillId="0" borderId="8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right" vertical="center"/>
    </xf>
    <xf numFmtId="3" fontId="11" fillId="0" borderId="0" xfId="0" applyNumberFormat="1" applyFont="1"/>
    <xf numFmtId="3" fontId="9" fillId="0" borderId="0" xfId="0" applyNumberFormat="1" applyFont="1"/>
    <xf numFmtId="3" fontId="9" fillId="0" borderId="1" xfId="0" applyNumberFormat="1" applyFont="1" applyBorder="1" applyAlignment="1">
      <alignment horizontal="left" vertical="center"/>
    </xf>
    <xf numFmtId="176" fontId="11" fillId="0" borderId="8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left" vertical="center"/>
    </xf>
    <xf numFmtId="3" fontId="11" fillId="0" borderId="0" xfId="0" applyNumberFormat="1" applyFont="1" applyFill="1"/>
    <xf numFmtId="3" fontId="11" fillId="0" borderId="10" xfId="0" applyNumberFormat="1" applyFont="1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76" fontId="11" fillId="0" borderId="7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/>
    </xf>
    <xf numFmtId="3" fontId="16" fillId="0" borderId="0" xfId="0" applyNumberFormat="1" applyFont="1"/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/>
    </xf>
    <xf numFmtId="3" fontId="17" fillId="0" borderId="0" xfId="0" applyNumberFormat="1" applyFont="1"/>
    <xf numFmtId="3" fontId="21" fillId="0" borderId="0" xfId="0" applyNumberFormat="1" applyFont="1"/>
    <xf numFmtId="3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Alignment="1">
      <alignment horizontal="right"/>
    </xf>
    <xf numFmtId="10" fontId="11" fillId="0" borderId="1" xfId="3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horizontal="right" vertical="center"/>
    </xf>
    <xf numFmtId="177" fontId="11" fillId="0" borderId="0" xfId="0" applyNumberFormat="1" applyFont="1"/>
    <xf numFmtId="3" fontId="11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left" vertical="center" indent="1"/>
    </xf>
    <xf numFmtId="176" fontId="11" fillId="0" borderId="9" xfId="0" applyNumberFormat="1" applyFont="1" applyBorder="1" applyAlignment="1">
      <alignment horizontal="right" vertical="center"/>
    </xf>
    <xf numFmtId="176" fontId="11" fillId="0" borderId="8" xfId="0" applyNumberFormat="1" applyFont="1" applyFill="1" applyBorder="1" applyAlignment="1">
      <alignment horizontal="right" vertical="center"/>
    </xf>
    <xf numFmtId="3" fontId="11" fillId="0" borderId="9" xfId="0" applyNumberFormat="1" applyFont="1" applyBorder="1" applyAlignment="1">
      <alignment horizontal="left" vertical="center"/>
    </xf>
    <xf numFmtId="176" fontId="11" fillId="0" borderId="9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left"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right" vertical="center"/>
    </xf>
    <xf numFmtId="3" fontId="11" fillId="0" borderId="10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176" fontId="11" fillId="0" borderId="7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22" xfId="0" applyNumberFormat="1" applyFont="1" applyFill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right" vertical="center"/>
    </xf>
    <xf numFmtId="10" fontId="11" fillId="0" borderId="1" xfId="0" applyNumberFormat="1" applyFont="1" applyFill="1" applyBorder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11" fillId="0" borderId="1" xfId="0" applyNumberFormat="1" applyFont="1" applyBorder="1" applyAlignment="1">
      <alignment horizontal="left" vertical="center" shrinkToFit="1"/>
    </xf>
    <xf numFmtId="3" fontId="11" fillId="0" borderId="8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left" vertical="center" shrinkToFit="1"/>
    </xf>
    <xf numFmtId="3" fontId="11" fillId="0" borderId="1" xfId="0" applyNumberFormat="1" applyFont="1" applyFill="1" applyBorder="1" applyAlignment="1">
      <alignment horizontal="left" vertical="center" shrinkToFit="1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/>
    <xf numFmtId="3" fontId="22" fillId="0" borderId="0" xfId="0" applyNumberFormat="1" applyFont="1" applyAlignment="1">
      <alignment vertical="center"/>
    </xf>
    <xf numFmtId="3" fontId="22" fillId="0" borderId="0" xfId="0" applyNumberFormat="1" applyFont="1"/>
    <xf numFmtId="3" fontId="21" fillId="0" borderId="7" xfId="0" applyNumberFormat="1" applyFont="1" applyBorder="1" applyAlignment="1">
      <alignment vertical="center"/>
    </xf>
    <xf numFmtId="176" fontId="19" fillId="0" borderId="1" xfId="0" applyNumberFormat="1" applyFont="1" applyBorder="1" applyAlignment="1">
      <alignment horizontal="right" vertical="center"/>
    </xf>
    <xf numFmtId="176" fontId="19" fillId="0" borderId="1" xfId="0" applyNumberFormat="1" applyFont="1" applyFill="1" applyBorder="1" applyAlignment="1">
      <alignment horizontal="right" vertical="center"/>
    </xf>
    <xf numFmtId="3" fontId="21" fillId="0" borderId="7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vertical="center"/>
    </xf>
    <xf numFmtId="3" fontId="17" fillId="0" borderId="0" xfId="0" applyNumberFormat="1" applyFont="1" applyAlignment="1">
      <alignment horizontal="left"/>
    </xf>
    <xf numFmtId="3" fontId="17" fillId="0" borderId="12" xfId="0" applyNumberFormat="1" applyFont="1" applyBorder="1" applyAlignment="1">
      <alignment horizontal="left" vertical="center"/>
    </xf>
    <xf numFmtId="3" fontId="20" fillId="0" borderId="12" xfId="0" applyNumberFormat="1" applyFont="1" applyBorder="1" applyAlignment="1">
      <alignment horizontal="left" vertical="center"/>
    </xf>
    <xf numFmtId="3" fontId="21" fillId="0" borderId="12" xfId="0" applyNumberFormat="1" applyFont="1" applyBorder="1" applyAlignment="1">
      <alignment horizontal="left"/>
    </xf>
    <xf numFmtId="3" fontId="2" fillId="0" borderId="15" xfId="0" applyNumberFormat="1" applyFont="1" applyBorder="1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1" fillId="2" borderId="19" xfId="0" applyNumberFormat="1" applyFont="1" applyFill="1" applyBorder="1" applyAlignment="1">
      <alignment horizontal="center" vertical="center"/>
    </xf>
    <xf numFmtId="3" fontId="11" fillId="2" borderId="20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left"/>
    </xf>
    <xf numFmtId="3" fontId="19" fillId="0" borderId="0" xfId="0" applyNumberFormat="1" applyFont="1" applyAlignment="1">
      <alignment horizontal="right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left" vertical="center"/>
    </xf>
    <xf numFmtId="3" fontId="11" fillId="0" borderId="6" xfId="0" applyNumberFormat="1" applyFont="1" applyFill="1" applyBorder="1" applyAlignment="1">
      <alignment horizontal="left" vertical="center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3" fontId="21" fillId="2" borderId="7" xfId="0" applyNumberFormat="1" applyFont="1" applyFill="1" applyBorder="1" applyAlignment="1">
      <alignment horizontal="center" vertical="center"/>
    </xf>
    <xf numFmtId="3" fontId="21" fillId="0" borderId="11" xfId="0" applyNumberFormat="1" applyFont="1" applyBorder="1" applyAlignment="1">
      <alignment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0" borderId="2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left"/>
    </xf>
  </cellXfs>
  <cellStyles count="4">
    <cellStyle name="パーセント" xfId="3" builtinId="5"/>
    <cellStyle name="標準" xfId="0" builtinId="0"/>
    <cellStyle name="標準 2 2 2" xfId="1"/>
    <cellStyle name="標準 2 4" xfId="2"/>
  </cellStyles>
  <dxfs count="0"/>
  <tableStyles count="0" defaultTableStyle="TableStyleMedium2" defaultPivotStyle="PivotStyleLight16"/>
  <colors>
    <mruColors>
      <color rgb="FFFFCCFF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133351</xdr:rowOff>
    </xdr:from>
    <xdr:to>
      <xdr:col>3</xdr:col>
      <xdr:colOff>276225</xdr:colOff>
      <xdr:row>5</xdr:row>
      <xdr:rowOff>152401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705100" y="1190626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1104900</xdr:colOff>
      <xdr:row>6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352675" y="2009775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11</xdr:row>
      <xdr:rowOff>66675</xdr:rowOff>
    </xdr:from>
    <xdr:to>
      <xdr:col>4</xdr:col>
      <xdr:colOff>314325</xdr:colOff>
      <xdr:row>12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752600" y="3067050"/>
          <a:ext cx="2495550" cy="49530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  <xdr:twoCellAnchor>
    <xdr:from>
      <xdr:col>1</xdr:col>
      <xdr:colOff>762000</xdr:colOff>
      <xdr:row>11</xdr:row>
      <xdr:rowOff>66675</xdr:rowOff>
    </xdr:from>
    <xdr:to>
      <xdr:col>4</xdr:col>
      <xdr:colOff>314325</xdr:colOff>
      <xdr:row>12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752600" y="3067050"/>
          <a:ext cx="2495550" cy="49530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Normal="100" workbookViewId="0">
      <selection activeCell="A2" sqref="A2"/>
    </sheetView>
  </sheetViews>
  <sheetFormatPr defaultColWidth="8.875" defaultRowHeight="15.75" x14ac:dyDescent="0.35"/>
  <cols>
    <col min="1" max="1" width="16.125" style="1" customWidth="1"/>
    <col min="2" max="8" width="15.875" style="1" customWidth="1"/>
    <col min="9" max="16384" width="8.875" style="1"/>
  </cols>
  <sheetData>
    <row r="1" spans="1:8" x14ac:dyDescent="0.35">
      <c r="A1" s="19" t="s">
        <v>196</v>
      </c>
      <c r="B1" s="19"/>
      <c r="C1" s="19"/>
      <c r="D1" s="19"/>
      <c r="E1" s="19"/>
      <c r="F1" s="19"/>
      <c r="G1" s="19"/>
      <c r="H1" s="19"/>
    </row>
    <row r="2" spans="1:8" ht="25.5" x14ac:dyDescent="0.5">
      <c r="A2" s="44" t="s">
        <v>197</v>
      </c>
      <c r="B2" s="19"/>
      <c r="C2" s="19"/>
      <c r="D2" s="19"/>
      <c r="E2" s="19"/>
      <c r="F2" s="19"/>
      <c r="G2" s="19"/>
      <c r="H2" s="19"/>
    </row>
    <row r="3" spans="1:8" ht="19.5" x14ac:dyDescent="0.4">
      <c r="A3" s="104" t="s">
        <v>199</v>
      </c>
      <c r="B3" s="104"/>
      <c r="C3" s="19"/>
      <c r="D3" s="19"/>
      <c r="E3" s="19"/>
      <c r="F3" s="19"/>
      <c r="G3" s="19"/>
      <c r="H3" s="19"/>
    </row>
    <row r="4" spans="1:8" ht="19.5" x14ac:dyDescent="0.4">
      <c r="A4" s="104" t="s">
        <v>198</v>
      </c>
      <c r="B4" s="104"/>
      <c r="C4" s="19"/>
      <c r="D4" s="19"/>
      <c r="E4" s="19"/>
      <c r="F4" s="19"/>
      <c r="G4" s="19"/>
      <c r="H4" s="19"/>
    </row>
    <row r="5" spans="1:8" ht="19.5" x14ac:dyDescent="0.35">
      <c r="A5" s="105" t="s">
        <v>201</v>
      </c>
      <c r="B5" s="105"/>
      <c r="C5" s="45"/>
      <c r="D5" s="45"/>
      <c r="E5" s="45"/>
      <c r="F5" s="45"/>
      <c r="G5" s="45"/>
      <c r="H5" s="46" t="s">
        <v>200</v>
      </c>
    </row>
    <row r="6" spans="1:8" ht="47.25" x14ac:dyDescent="0.35">
      <c r="A6" s="47" t="s">
        <v>80</v>
      </c>
      <c r="B6" s="48" t="s">
        <v>104</v>
      </c>
      <c r="C6" s="48" t="s">
        <v>105</v>
      </c>
      <c r="D6" s="48" t="s">
        <v>106</v>
      </c>
      <c r="E6" s="48" t="s">
        <v>107</v>
      </c>
      <c r="F6" s="48" t="s">
        <v>108</v>
      </c>
      <c r="G6" s="48" t="s">
        <v>109</v>
      </c>
      <c r="H6" s="48" t="s">
        <v>110</v>
      </c>
    </row>
    <row r="7" spans="1:8" x14ac:dyDescent="0.35">
      <c r="A7" s="27" t="s">
        <v>111</v>
      </c>
      <c r="B7" s="13">
        <f>SUM(B8:B16)</f>
        <v>45550586796</v>
      </c>
      <c r="C7" s="13">
        <f>SUM(C8:C16)</f>
        <v>607419507</v>
      </c>
      <c r="D7" s="13">
        <f>SUM(D8:D16)</f>
        <v>148650248</v>
      </c>
      <c r="E7" s="13">
        <f>B7+C7-D7</f>
        <v>46009356055</v>
      </c>
      <c r="F7" s="13">
        <f>SUM(F8:F16)</f>
        <v>21408358611</v>
      </c>
      <c r="G7" s="13">
        <f>SUM(G8:G16)</f>
        <v>653222016</v>
      </c>
      <c r="H7" s="13">
        <f>E7-F7</f>
        <v>24600997444</v>
      </c>
    </row>
    <row r="8" spans="1:8" x14ac:dyDescent="0.35">
      <c r="A8" s="27" t="s">
        <v>112</v>
      </c>
      <c r="B8" s="13">
        <v>14592598270</v>
      </c>
      <c r="C8" s="13">
        <v>74591827</v>
      </c>
      <c r="D8" s="13">
        <v>110899728</v>
      </c>
      <c r="E8" s="13">
        <f t="shared" ref="E8:E23" si="0">B8+C8-D8</f>
        <v>14556290369</v>
      </c>
      <c r="F8" s="13">
        <v>0</v>
      </c>
      <c r="G8" s="28">
        <v>0</v>
      </c>
      <c r="H8" s="13">
        <f t="shared" ref="H8:H24" si="1">E8-F8</f>
        <v>14556290369</v>
      </c>
    </row>
    <row r="9" spans="1:8" x14ac:dyDescent="0.35">
      <c r="A9" s="27" t="s">
        <v>113</v>
      </c>
      <c r="B9" s="13">
        <v>0</v>
      </c>
      <c r="C9" s="28">
        <v>0</v>
      </c>
      <c r="D9" s="28">
        <v>0</v>
      </c>
      <c r="E9" s="28">
        <f t="shared" si="0"/>
        <v>0</v>
      </c>
      <c r="F9" s="28">
        <v>0</v>
      </c>
      <c r="G9" s="28">
        <v>0</v>
      </c>
      <c r="H9" s="28">
        <f t="shared" si="1"/>
        <v>0</v>
      </c>
    </row>
    <row r="10" spans="1:8" x14ac:dyDescent="0.35">
      <c r="A10" s="27" t="s">
        <v>114</v>
      </c>
      <c r="B10" s="13">
        <v>29627568005</v>
      </c>
      <c r="C10" s="28">
        <v>433054820</v>
      </c>
      <c r="D10" s="28">
        <v>14303520</v>
      </c>
      <c r="E10" s="28">
        <f t="shared" si="0"/>
        <v>30046319305</v>
      </c>
      <c r="F10" s="28">
        <v>20267942547</v>
      </c>
      <c r="G10" s="28">
        <f>637130744+3942621</f>
        <v>641073365</v>
      </c>
      <c r="H10" s="28">
        <f t="shared" si="1"/>
        <v>9778376758</v>
      </c>
    </row>
    <row r="11" spans="1:8" x14ac:dyDescent="0.35">
      <c r="A11" s="27" t="s">
        <v>115</v>
      </c>
      <c r="B11" s="13">
        <v>1291379001</v>
      </c>
      <c r="C11" s="28">
        <v>88259050</v>
      </c>
      <c r="D11" s="28">
        <v>0</v>
      </c>
      <c r="E11" s="28">
        <f t="shared" si="0"/>
        <v>1379638051</v>
      </c>
      <c r="F11" s="28">
        <v>1140416064</v>
      </c>
      <c r="G11" s="28">
        <v>12148651</v>
      </c>
      <c r="H11" s="28">
        <f t="shared" si="1"/>
        <v>239221987</v>
      </c>
    </row>
    <row r="12" spans="1:8" x14ac:dyDescent="0.35">
      <c r="A12" s="27" t="s">
        <v>116</v>
      </c>
      <c r="B12" s="13">
        <v>0</v>
      </c>
      <c r="C12" s="28">
        <v>0</v>
      </c>
      <c r="D12" s="28">
        <v>0</v>
      </c>
      <c r="E12" s="28">
        <f t="shared" si="0"/>
        <v>0</v>
      </c>
      <c r="F12" s="28">
        <v>0</v>
      </c>
      <c r="G12" s="28">
        <v>0</v>
      </c>
      <c r="H12" s="28">
        <f t="shared" si="1"/>
        <v>0</v>
      </c>
    </row>
    <row r="13" spans="1:8" x14ac:dyDescent="0.35">
      <c r="A13" s="27" t="s">
        <v>117</v>
      </c>
      <c r="B13" s="13">
        <v>0</v>
      </c>
      <c r="C13" s="28">
        <v>0</v>
      </c>
      <c r="D13" s="28">
        <v>0</v>
      </c>
      <c r="E13" s="28">
        <f t="shared" si="0"/>
        <v>0</v>
      </c>
      <c r="F13" s="28">
        <v>0</v>
      </c>
      <c r="G13" s="28">
        <v>0</v>
      </c>
      <c r="H13" s="28">
        <f t="shared" si="1"/>
        <v>0</v>
      </c>
    </row>
    <row r="14" spans="1:8" x14ac:dyDescent="0.35">
      <c r="A14" s="27" t="s">
        <v>118</v>
      </c>
      <c r="B14" s="13">
        <v>0</v>
      </c>
      <c r="C14" s="28">
        <v>0</v>
      </c>
      <c r="D14" s="28">
        <v>0</v>
      </c>
      <c r="E14" s="28">
        <f t="shared" si="0"/>
        <v>0</v>
      </c>
      <c r="F14" s="28">
        <v>0</v>
      </c>
      <c r="G14" s="28">
        <v>0</v>
      </c>
      <c r="H14" s="28">
        <f t="shared" si="1"/>
        <v>0</v>
      </c>
    </row>
    <row r="15" spans="1:8" x14ac:dyDescent="0.35">
      <c r="A15" s="27" t="s">
        <v>138</v>
      </c>
      <c r="B15" s="13">
        <v>0</v>
      </c>
      <c r="C15" s="28">
        <v>0</v>
      </c>
      <c r="D15" s="28">
        <v>0</v>
      </c>
      <c r="E15" s="28">
        <f t="shared" si="0"/>
        <v>0</v>
      </c>
      <c r="F15" s="28">
        <v>0</v>
      </c>
      <c r="G15" s="28">
        <v>0</v>
      </c>
      <c r="H15" s="28">
        <f t="shared" si="1"/>
        <v>0</v>
      </c>
    </row>
    <row r="16" spans="1:8" x14ac:dyDescent="0.35">
      <c r="A16" s="27" t="s">
        <v>119</v>
      </c>
      <c r="B16" s="28">
        <v>39041520</v>
      </c>
      <c r="C16" s="28">
        <v>11513810</v>
      </c>
      <c r="D16" s="28">
        <v>23447000</v>
      </c>
      <c r="E16" s="28">
        <f t="shared" si="0"/>
        <v>27108330</v>
      </c>
      <c r="F16" s="28">
        <v>0</v>
      </c>
      <c r="G16" s="28">
        <v>0</v>
      </c>
      <c r="H16" s="28">
        <f t="shared" si="1"/>
        <v>27108330</v>
      </c>
    </row>
    <row r="17" spans="1:8" x14ac:dyDescent="0.35">
      <c r="A17" s="27" t="s">
        <v>120</v>
      </c>
      <c r="B17" s="13">
        <f>SUM(B18:B22)</f>
        <v>45406506623</v>
      </c>
      <c r="C17" s="28">
        <f>SUM(C18:C22)</f>
        <v>731954683</v>
      </c>
      <c r="D17" s="28">
        <f>SUM(D18:D22)</f>
        <v>135853949</v>
      </c>
      <c r="E17" s="28">
        <f t="shared" si="0"/>
        <v>46002607357</v>
      </c>
      <c r="F17" s="28">
        <f>SUM(F18:F22)</f>
        <v>16256555286</v>
      </c>
      <c r="G17" s="28">
        <f>SUM(G18:G22)</f>
        <v>834432810</v>
      </c>
      <c r="H17" s="28">
        <f t="shared" si="1"/>
        <v>29746052071</v>
      </c>
    </row>
    <row r="18" spans="1:8" x14ac:dyDescent="0.35">
      <c r="A18" s="27" t="s">
        <v>112</v>
      </c>
      <c r="B18" s="13">
        <v>8948911165</v>
      </c>
      <c r="C18" s="28">
        <f>158755950+151337635</f>
        <v>310093585</v>
      </c>
      <c r="D18" s="28">
        <v>9741634</v>
      </c>
      <c r="E18" s="28">
        <f t="shared" si="0"/>
        <v>9249263116</v>
      </c>
      <c r="F18" s="28">
        <v>0</v>
      </c>
      <c r="G18" s="28">
        <v>0</v>
      </c>
      <c r="H18" s="28">
        <f t="shared" si="1"/>
        <v>9249263116</v>
      </c>
    </row>
    <row r="19" spans="1:8" x14ac:dyDescent="0.35">
      <c r="A19" s="27" t="s">
        <v>114</v>
      </c>
      <c r="B19" s="13">
        <v>44671841</v>
      </c>
      <c r="C19" s="28">
        <v>0</v>
      </c>
      <c r="D19" s="28">
        <v>0</v>
      </c>
      <c r="E19" s="28">
        <f t="shared" si="0"/>
        <v>44671841</v>
      </c>
      <c r="F19" s="28">
        <v>3135962</v>
      </c>
      <c r="G19" s="28">
        <v>1567981</v>
      </c>
      <c r="H19" s="28">
        <f t="shared" si="1"/>
        <v>41535879</v>
      </c>
    </row>
    <row r="20" spans="1:8" x14ac:dyDescent="0.35">
      <c r="A20" s="27" t="s">
        <v>115</v>
      </c>
      <c r="B20" s="13">
        <v>36235791582</v>
      </c>
      <c r="C20" s="28">
        <f>361514419+40059000</f>
        <v>401573419</v>
      </c>
      <c r="D20" s="28">
        <v>0</v>
      </c>
      <c r="E20" s="28">
        <f t="shared" si="0"/>
        <v>36637365001</v>
      </c>
      <c r="F20" s="28">
        <f>16253419324</f>
        <v>16253419324</v>
      </c>
      <c r="G20" s="28">
        <f>468723251+364141578</f>
        <v>832864829</v>
      </c>
      <c r="H20" s="28">
        <f t="shared" si="1"/>
        <v>20383945677</v>
      </c>
    </row>
    <row r="21" spans="1:8" x14ac:dyDescent="0.35">
      <c r="A21" s="27" t="s">
        <v>138</v>
      </c>
      <c r="B21" s="13">
        <v>0</v>
      </c>
      <c r="C21" s="28">
        <v>0</v>
      </c>
      <c r="D21" s="28">
        <v>0</v>
      </c>
      <c r="E21" s="28">
        <f t="shared" si="0"/>
        <v>0</v>
      </c>
      <c r="F21" s="28">
        <v>0</v>
      </c>
      <c r="G21" s="28">
        <v>0</v>
      </c>
      <c r="H21" s="28">
        <f t="shared" si="1"/>
        <v>0</v>
      </c>
    </row>
    <row r="22" spans="1:8" x14ac:dyDescent="0.35">
      <c r="A22" s="27" t="s">
        <v>119</v>
      </c>
      <c r="B22" s="28">
        <v>177132035</v>
      </c>
      <c r="C22" s="28">
        <f>12697679+7590000</f>
        <v>20287679</v>
      </c>
      <c r="D22" s="28">
        <v>126112315</v>
      </c>
      <c r="E22" s="28">
        <f t="shared" si="0"/>
        <v>71307399</v>
      </c>
      <c r="F22" s="28">
        <v>0</v>
      </c>
      <c r="G22" s="28">
        <v>0</v>
      </c>
      <c r="H22" s="28">
        <f t="shared" si="1"/>
        <v>71307399</v>
      </c>
    </row>
    <row r="23" spans="1:8" x14ac:dyDescent="0.35">
      <c r="A23" s="27" t="s">
        <v>121</v>
      </c>
      <c r="B23" s="13">
        <v>1185713972</v>
      </c>
      <c r="C23" s="28">
        <f>110245554+1852200</f>
        <v>112097754</v>
      </c>
      <c r="D23" s="28">
        <f>5335000+11219040</f>
        <v>16554040</v>
      </c>
      <c r="E23" s="28">
        <f t="shared" si="0"/>
        <v>1281257686</v>
      </c>
      <c r="F23" s="28">
        <f>784783951</f>
        <v>784783951</v>
      </c>
      <c r="G23" s="28">
        <f>129364259+4668508+3720164</f>
        <v>137752931</v>
      </c>
      <c r="H23" s="28">
        <f t="shared" si="1"/>
        <v>496473735</v>
      </c>
    </row>
    <row r="24" spans="1:8" x14ac:dyDescent="0.35">
      <c r="A24" s="27" t="s">
        <v>9</v>
      </c>
      <c r="B24" s="13">
        <f>SUM(B7,B17,B23)</f>
        <v>92142807391</v>
      </c>
      <c r="C24" s="28">
        <f>C7+C17+C23</f>
        <v>1451471944</v>
      </c>
      <c r="D24" s="28">
        <f>D7+D17+D23</f>
        <v>301058237</v>
      </c>
      <c r="E24" s="28">
        <f>B24+C24-D24</f>
        <v>93293221098</v>
      </c>
      <c r="F24" s="28">
        <f>F7+F17+F23</f>
        <v>38449697848</v>
      </c>
      <c r="G24" s="28">
        <f>G7+G17+G23</f>
        <v>1625407757</v>
      </c>
      <c r="H24" s="28">
        <f t="shared" si="1"/>
        <v>54843523250</v>
      </c>
    </row>
  </sheetData>
  <mergeCells count="3">
    <mergeCell ref="A3:B3"/>
    <mergeCell ref="A4:B4"/>
    <mergeCell ref="A5:B5"/>
  </mergeCells>
  <phoneticPr fontId="1"/>
  <pageMargins left="0.59055118110236227" right="0.39370078740157483" top="0.39370078740157483" bottom="0.39370078740157483" header="0.19685039370078741" footer="0.19685039370078741"/>
  <pageSetup paperSize="9" scale="54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activeCell="C30" sqref="C30"/>
    </sheetView>
  </sheetViews>
  <sheetFormatPr defaultColWidth="8.875" defaultRowHeight="15.75" x14ac:dyDescent="0.35"/>
  <cols>
    <col min="1" max="1" width="25.875" style="1" customWidth="1"/>
    <col min="2" max="2" width="28.875" style="1" bestFit="1" customWidth="1"/>
    <col min="3" max="3" width="23.875" style="1" bestFit="1" customWidth="1"/>
    <col min="4" max="4" width="16.875" style="1" customWidth="1"/>
    <col min="5" max="5" width="45.5" style="1" bestFit="1" customWidth="1"/>
    <col min="6" max="6" width="10.875" style="1" bestFit="1" customWidth="1"/>
    <col min="7" max="7" width="11.5" style="1" bestFit="1" customWidth="1"/>
    <col min="8" max="16384" width="8.875" style="1"/>
  </cols>
  <sheetData>
    <row r="1" spans="1:6" ht="19.5" x14ac:dyDescent="0.4">
      <c r="A1" s="104" t="s">
        <v>210</v>
      </c>
      <c r="B1" s="104"/>
      <c r="C1" s="18"/>
      <c r="D1" s="18"/>
      <c r="E1" s="18"/>
      <c r="F1" s="18"/>
    </row>
    <row r="2" spans="1:6" ht="19.5" x14ac:dyDescent="0.4">
      <c r="A2" s="51" t="s">
        <v>211</v>
      </c>
      <c r="B2" s="18"/>
      <c r="C2" s="18"/>
      <c r="D2" s="18"/>
      <c r="E2" s="50" t="s">
        <v>24</v>
      </c>
      <c r="F2" s="18"/>
    </row>
    <row r="3" spans="1:6" ht="22.5" customHeight="1" x14ac:dyDescent="0.35">
      <c r="A3" s="53" t="s">
        <v>80</v>
      </c>
      <c r="B3" s="53" t="s">
        <v>86</v>
      </c>
      <c r="C3" s="53" t="s">
        <v>87</v>
      </c>
      <c r="D3" s="53" t="s">
        <v>88</v>
      </c>
      <c r="E3" s="53" t="s">
        <v>89</v>
      </c>
      <c r="F3" s="18"/>
    </row>
    <row r="4" spans="1:6" ht="18" customHeight="1" x14ac:dyDescent="0.35">
      <c r="A4" s="130" t="s">
        <v>90</v>
      </c>
      <c r="B4" s="27" t="s">
        <v>245</v>
      </c>
      <c r="C4" s="27" t="s">
        <v>246</v>
      </c>
      <c r="D4" s="13">
        <v>25000000</v>
      </c>
      <c r="E4" s="85" t="s">
        <v>247</v>
      </c>
      <c r="F4" s="18"/>
    </row>
    <row r="5" spans="1:6" ht="18" customHeight="1" x14ac:dyDescent="0.35">
      <c r="A5" s="130"/>
      <c r="B5" s="27" t="s">
        <v>266</v>
      </c>
      <c r="C5" s="27" t="s">
        <v>267</v>
      </c>
      <c r="D5" s="13">
        <v>20250000</v>
      </c>
      <c r="E5" s="85" t="s">
        <v>268</v>
      </c>
      <c r="F5" s="18"/>
    </row>
    <row r="6" spans="1:6" ht="18" customHeight="1" x14ac:dyDescent="0.35">
      <c r="A6" s="130"/>
      <c r="B6" s="27" t="s">
        <v>163</v>
      </c>
      <c r="C6" s="27"/>
      <c r="D6" s="13">
        <v>9581223</v>
      </c>
      <c r="E6" s="85"/>
      <c r="F6" s="18"/>
    </row>
    <row r="7" spans="1:6" ht="18" customHeight="1" x14ac:dyDescent="0.35">
      <c r="A7" s="130"/>
      <c r="B7" s="27"/>
      <c r="C7" s="27"/>
      <c r="D7" s="13"/>
      <c r="E7" s="85"/>
      <c r="F7" s="18"/>
    </row>
    <row r="8" spans="1:6" ht="18" customHeight="1" x14ac:dyDescent="0.35">
      <c r="A8" s="131"/>
      <c r="B8" s="42" t="s">
        <v>91</v>
      </c>
      <c r="C8" s="86"/>
      <c r="D8" s="13">
        <f>SUM(D4:D7)</f>
        <v>54831223</v>
      </c>
      <c r="E8" s="87"/>
      <c r="F8" s="18"/>
    </row>
    <row r="9" spans="1:6" ht="18" customHeight="1" x14ac:dyDescent="0.35">
      <c r="A9" s="132" t="s">
        <v>92</v>
      </c>
      <c r="B9" s="27" t="s">
        <v>159</v>
      </c>
      <c r="C9" s="27" t="s">
        <v>158</v>
      </c>
      <c r="D9" s="13">
        <v>542280000</v>
      </c>
      <c r="E9" s="85" t="s">
        <v>165</v>
      </c>
      <c r="F9" s="18"/>
    </row>
    <row r="10" spans="1:6" ht="18" customHeight="1" x14ac:dyDescent="0.35">
      <c r="A10" s="132"/>
      <c r="B10" s="27" t="s">
        <v>167</v>
      </c>
      <c r="C10" s="27" t="s">
        <v>164</v>
      </c>
      <c r="D10" s="13">
        <v>407389910</v>
      </c>
      <c r="E10" s="85" t="s">
        <v>168</v>
      </c>
      <c r="F10" s="18"/>
    </row>
    <row r="11" spans="1:6" ht="18" customHeight="1" x14ac:dyDescent="0.35">
      <c r="A11" s="132"/>
      <c r="B11" s="27" t="s">
        <v>248</v>
      </c>
      <c r="C11" s="27" t="s">
        <v>249</v>
      </c>
      <c r="D11" s="13">
        <v>346209026</v>
      </c>
      <c r="E11" s="85" t="s">
        <v>166</v>
      </c>
      <c r="F11" s="18"/>
    </row>
    <row r="12" spans="1:6" ht="18" customHeight="1" x14ac:dyDescent="0.35">
      <c r="A12" s="132"/>
      <c r="B12" s="27" t="s">
        <v>220</v>
      </c>
      <c r="C12" s="27" t="s">
        <v>221</v>
      </c>
      <c r="D12" s="13">
        <v>367860000</v>
      </c>
      <c r="E12" s="85" t="s">
        <v>222</v>
      </c>
      <c r="F12" s="18"/>
    </row>
    <row r="13" spans="1:6" ht="18" customHeight="1" x14ac:dyDescent="0.35">
      <c r="A13" s="132"/>
      <c r="B13" s="27" t="s">
        <v>160</v>
      </c>
      <c r="C13" s="27" t="s">
        <v>160</v>
      </c>
      <c r="D13" s="13">
        <v>216278000</v>
      </c>
      <c r="E13" s="85" t="s">
        <v>250</v>
      </c>
      <c r="F13" s="18"/>
    </row>
    <row r="14" spans="1:6" ht="18" customHeight="1" x14ac:dyDescent="0.35">
      <c r="A14" s="132"/>
      <c r="B14" s="27" t="s">
        <v>161</v>
      </c>
      <c r="C14" s="27" t="s">
        <v>162</v>
      </c>
      <c r="D14" s="13">
        <v>895000</v>
      </c>
      <c r="E14" s="85" t="s">
        <v>169</v>
      </c>
      <c r="F14" s="18"/>
    </row>
    <row r="15" spans="1:6" ht="18" customHeight="1" x14ac:dyDescent="0.35">
      <c r="A15" s="132"/>
      <c r="B15" s="41" t="s">
        <v>182</v>
      </c>
      <c r="C15" s="41"/>
      <c r="D15" s="28">
        <v>6236445985</v>
      </c>
      <c r="E15" s="88" t="s">
        <v>183</v>
      </c>
      <c r="F15" s="18"/>
    </row>
    <row r="16" spans="1:6" ht="18" customHeight="1" x14ac:dyDescent="0.35">
      <c r="A16" s="132"/>
      <c r="B16" s="41" t="s">
        <v>163</v>
      </c>
      <c r="C16" s="41"/>
      <c r="D16" s="28">
        <f>5426499620+170865909-233235000</f>
        <v>5364130529</v>
      </c>
      <c r="E16" s="28"/>
      <c r="F16" s="18"/>
    </row>
    <row r="17" spans="1:6" ht="18" customHeight="1" x14ac:dyDescent="0.35">
      <c r="A17" s="131"/>
      <c r="B17" s="42" t="s">
        <v>91</v>
      </c>
      <c r="C17" s="86"/>
      <c r="D17" s="13">
        <f>SUM(D9:D16)</f>
        <v>13481488450</v>
      </c>
      <c r="E17" s="86"/>
      <c r="F17" s="18"/>
    </row>
    <row r="18" spans="1:6" ht="18" customHeight="1" x14ac:dyDescent="0.35">
      <c r="A18" s="42" t="s">
        <v>223</v>
      </c>
      <c r="B18" s="86"/>
      <c r="C18" s="86"/>
      <c r="D18" s="13">
        <f>SUM(D8,D17)</f>
        <v>13536319673</v>
      </c>
      <c r="E18" s="86"/>
      <c r="F18" s="18"/>
    </row>
    <row r="19" spans="1:6" ht="17.25" customHeight="1" x14ac:dyDescent="0.35"/>
  </sheetData>
  <sortState ref="B12:D18">
    <sortCondition descending="1" ref="D12:D18"/>
  </sortState>
  <mergeCells count="3">
    <mergeCell ref="A1:B1"/>
    <mergeCell ref="A4:A8"/>
    <mergeCell ref="A9:A17"/>
  </mergeCells>
  <phoneticPr fontId="1"/>
  <pageMargins left="0.59055118110236227" right="0.39370078740157483" top="0.39370078740157483" bottom="0.39370078740157483" header="0.19685039370078741" footer="0.19685039370078741"/>
  <pageSetup paperSize="9" scale="77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opLeftCell="A33" zoomScaleNormal="100" workbookViewId="0">
      <selection activeCell="G55" sqref="G55"/>
    </sheetView>
  </sheetViews>
  <sheetFormatPr defaultColWidth="8.875" defaultRowHeight="15.75" x14ac:dyDescent="0.35"/>
  <cols>
    <col min="1" max="1" width="18.875" style="18" bestFit="1" customWidth="1"/>
    <col min="2" max="2" width="10.5" style="18" bestFit="1" customWidth="1"/>
    <col min="3" max="3" width="6" style="18" bestFit="1" customWidth="1"/>
    <col min="4" max="4" width="11.875" style="18" customWidth="1"/>
    <col min="5" max="5" width="12.5" style="18" bestFit="1" customWidth="1"/>
    <col min="6" max="16384" width="8.875" style="18"/>
  </cols>
  <sheetData>
    <row r="1" spans="1:5" ht="19.5" x14ac:dyDescent="0.4">
      <c r="A1" s="104" t="s">
        <v>212</v>
      </c>
      <c r="B1" s="104"/>
      <c r="C1" s="104"/>
      <c r="D1" s="104"/>
    </row>
    <row r="2" spans="1:5" ht="19.5" x14ac:dyDescent="0.4">
      <c r="A2" s="104" t="s">
        <v>213</v>
      </c>
      <c r="B2" s="104"/>
      <c r="E2" s="55" t="s">
        <v>103</v>
      </c>
    </row>
    <row r="3" spans="1:5" ht="22.5" customHeight="1" x14ac:dyDescent="0.35">
      <c r="A3" s="53" t="s">
        <v>93</v>
      </c>
      <c r="B3" s="53" t="s">
        <v>80</v>
      </c>
      <c r="C3" s="129" t="s">
        <v>94</v>
      </c>
      <c r="D3" s="129"/>
      <c r="E3" s="53" t="s">
        <v>88</v>
      </c>
    </row>
    <row r="4" spans="1:5" ht="18" customHeight="1" x14ac:dyDescent="0.35">
      <c r="A4" s="131" t="s">
        <v>170</v>
      </c>
      <c r="B4" s="142" t="s">
        <v>95</v>
      </c>
      <c r="C4" s="140" t="s">
        <v>171</v>
      </c>
      <c r="D4" s="141"/>
      <c r="E4" s="32">
        <v>6779725314</v>
      </c>
    </row>
    <row r="5" spans="1:5" ht="18" customHeight="1" x14ac:dyDescent="0.35">
      <c r="A5" s="131"/>
      <c r="B5" s="142"/>
      <c r="C5" s="140" t="s">
        <v>172</v>
      </c>
      <c r="D5" s="141"/>
      <c r="E5" s="32">
        <v>101531000</v>
      </c>
    </row>
    <row r="6" spans="1:5" ht="18" customHeight="1" x14ac:dyDescent="0.35">
      <c r="A6" s="131"/>
      <c r="B6" s="142"/>
      <c r="C6" s="140" t="s">
        <v>173</v>
      </c>
      <c r="D6" s="141"/>
      <c r="E6" s="32">
        <v>737505000</v>
      </c>
    </row>
    <row r="7" spans="1:5" ht="18" customHeight="1" x14ac:dyDescent="0.35">
      <c r="A7" s="131"/>
      <c r="B7" s="142"/>
      <c r="C7" s="140" t="s">
        <v>174</v>
      </c>
      <c r="D7" s="141"/>
      <c r="E7" s="32">
        <v>875190000</v>
      </c>
    </row>
    <row r="8" spans="1:5" ht="18" customHeight="1" x14ac:dyDescent="0.35">
      <c r="A8" s="131"/>
      <c r="B8" s="142"/>
      <c r="C8" s="140" t="s">
        <v>224</v>
      </c>
      <c r="D8" s="141"/>
      <c r="E8" s="32">
        <v>20083232</v>
      </c>
    </row>
    <row r="9" spans="1:5" ht="18" customHeight="1" x14ac:dyDescent="0.35">
      <c r="A9" s="131"/>
      <c r="B9" s="142"/>
      <c r="C9" s="140" t="s">
        <v>163</v>
      </c>
      <c r="D9" s="141"/>
      <c r="E9" s="32">
        <v>400668935</v>
      </c>
    </row>
    <row r="10" spans="1:5" ht="18" customHeight="1" x14ac:dyDescent="0.35">
      <c r="A10" s="131"/>
      <c r="B10" s="142"/>
      <c r="C10" s="142" t="s">
        <v>38</v>
      </c>
      <c r="D10" s="141"/>
      <c r="E10" s="32">
        <v>8914703481</v>
      </c>
    </row>
    <row r="11" spans="1:5" ht="18" customHeight="1" x14ac:dyDescent="0.35">
      <c r="A11" s="131"/>
      <c r="B11" s="131" t="s">
        <v>225</v>
      </c>
      <c r="C11" s="144" t="s">
        <v>97</v>
      </c>
      <c r="D11" s="27" t="s">
        <v>101</v>
      </c>
      <c r="E11" s="17">
        <v>96308185.602910101</v>
      </c>
    </row>
    <row r="12" spans="1:5" ht="18" customHeight="1" x14ac:dyDescent="0.35">
      <c r="A12" s="131"/>
      <c r="B12" s="131"/>
      <c r="C12" s="131"/>
      <c r="D12" s="27" t="s">
        <v>102</v>
      </c>
      <c r="E12" s="17">
        <v>13572169.397089906</v>
      </c>
    </row>
    <row r="13" spans="1:5" ht="18" customHeight="1" x14ac:dyDescent="0.35">
      <c r="A13" s="131"/>
      <c r="B13" s="131"/>
      <c r="C13" s="131"/>
      <c r="D13" s="42" t="s">
        <v>91</v>
      </c>
      <c r="E13" s="17">
        <v>109880355</v>
      </c>
    </row>
    <row r="14" spans="1:5" ht="18" customHeight="1" x14ac:dyDescent="0.35">
      <c r="A14" s="131"/>
      <c r="B14" s="131"/>
      <c r="C14" s="144" t="s">
        <v>98</v>
      </c>
      <c r="D14" s="27" t="s">
        <v>101</v>
      </c>
      <c r="E14" s="17">
        <v>6762382472.5137796</v>
      </c>
    </row>
    <row r="15" spans="1:5" ht="18" customHeight="1" x14ac:dyDescent="0.35">
      <c r="A15" s="131"/>
      <c r="B15" s="131"/>
      <c r="C15" s="131"/>
      <c r="D15" s="27" t="s">
        <v>102</v>
      </c>
      <c r="E15" s="17">
        <v>952984420.48622084</v>
      </c>
    </row>
    <row r="16" spans="1:5" ht="18" customHeight="1" x14ac:dyDescent="0.35">
      <c r="A16" s="131"/>
      <c r="B16" s="131"/>
      <c r="C16" s="131"/>
      <c r="D16" s="42" t="s">
        <v>91</v>
      </c>
      <c r="E16" s="17">
        <v>7715366893</v>
      </c>
    </row>
    <row r="17" spans="1:5" ht="18" customHeight="1" x14ac:dyDescent="0.35">
      <c r="A17" s="143"/>
      <c r="B17" s="143"/>
      <c r="C17" s="131" t="s">
        <v>38</v>
      </c>
      <c r="D17" s="143"/>
      <c r="E17" s="17">
        <v>7825247248</v>
      </c>
    </row>
    <row r="18" spans="1:5" ht="18" customHeight="1" x14ac:dyDescent="0.35">
      <c r="A18" s="143"/>
      <c r="B18" s="131" t="s">
        <v>9</v>
      </c>
      <c r="C18" s="143"/>
      <c r="D18" s="143"/>
      <c r="E18" s="17">
        <v>16739950729</v>
      </c>
    </row>
    <row r="19" spans="1:5" ht="18" customHeight="1" x14ac:dyDescent="0.35">
      <c r="A19" s="134" t="s">
        <v>184</v>
      </c>
      <c r="B19" s="137" t="s">
        <v>95</v>
      </c>
      <c r="C19" s="140" t="s">
        <v>179</v>
      </c>
      <c r="D19" s="141"/>
      <c r="E19" s="32">
        <f>780418934-19856756-5281694-2261711-22411-5638-5151+20122126+6089488+2511913</f>
        <v>781709100</v>
      </c>
    </row>
    <row r="20" spans="1:5" ht="18" customHeight="1" x14ac:dyDescent="0.35">
      <c r="A20" s="135"/>
      <c r="B20" s="138"/>
      <c r="C20" s="140" t="s">
        <v>185</v>
      </c>
      <c r="D20" s="141"/>
      <c r="E20" s="32">
        <v>281321696</v>
      </c>
    </row>
    <row r="21" spans="1:5" ht="18" customHeight="1" x14ac:dyDescent="0.35">
      <c r="A21" s="135"/>
      <c r="B21" s="139"/>
      <c r="C21" s="142" t="s">
        <v>38</v>
      </c>
      <c r="D21" s="141"/>
      <c r="E21" s="32">
        <f>SUM(E19:E20)</f>
        <v>1063030796</v>
      </c>
    </row>
    <row r="22" spans="1:5" ht="18" customHeight="1" x14ac:dyDescent="0.35">
      <c r="A22" s="135"/>
      <c r="B22" s="134" t="s">
        <v>186</v>
      </c>
      <c r="C22" s="156" t="s">
        <v>98</v>
      </c>
      <c r="D22" s="43" t="s">
        <v>101</v>
      </c>
      <c r="E22" s="17">
        <v>12891000</v>
      </c>
    </row>
    <row r="23" spans="1:5" ht="18" customHeight="1" x14ac:dyDescent="0.35">
      <c r="A23" s="135"/>
      <c r="B23" s="135"/>
      <c r="C23" s="157"/>
      <c r="D23" s="27" t="s">
        <v>238</v>
      </c>
      <c r="E23" s="17">
        <v>2297902669</v>
      </c>
    </row>
    <row r="24" spans="1:5" ht="18" customHeight="1" x14ac:dyDescent="0.35">
      <c r="A24" s="135"/>
      <c r="B24" s="136"/>
      <c r="C24" s="158"/>
      <c r="D24" s="42" t="s">
        <v>239</v>
      </c>
      <c r="E24" s="17">
        <f>SUM(E22:E23)</f>
        <v>2310793669</v>
      </c>
    </row>
    <row r="25" spans="1:5" ht="18" customHeight="1" x14ac:dyDescent="0.35">
      <c r="A25" s="136"/>
      <c r="B25" s="131" t="s">
        <v>9</v>
      </c>
      <c r="C25" s="143"/>
      <c r="D25" s="143"/>
      <c r="E25" s="17">
        <f>SUM(E21,E24)</f>
        <v>3373824465</v>
      </c>
    </row>
    <row r="26" spans="1:5" ht="18" customHeight="1" x14ac:dyDescent="0.35">
      <c r="A26" s="144" t="s">
        <v>187</v>
      </c>
      <c r="B26" s="142" t="s">
        <v>95</v>
      </c>
      <c r="C26" s="140" t="s">
        <v>185</v>
      </c>
      <c r="D26" s="141"/>
      <c r="E26" s="32">
        <v>2201000</v>
      </c>
    </row>
    <row r="27" spans="1:5" ht="18" customHeight="1" x14ac:dyDescent="0.35">
      <c r="A27" s="131"/>
      <c r="B27" s="142"/>
      <c r="C27" s="142" t="s">
        <v>38</v>
      </c>
      <c r="D27" s="141"/>
      <c r="E27" s="32">
        <f>SUM(E26:E26)</f>
        <v>2201000</v>
      </c>
    </row>
    <row r="28" spans="1:5" ht="18" customHeight="1" x14ac:dyDescent="0.35">
      <c r="A28" s="131"/>
      <c r="B28" s="131" t="s">
        <v>186</v>
      </c>
      <c r="C28" s="156" t="s">
        <v>98</v>
      </c>
      <c r="D28" s="27" t="s">
        <v>238</v>
      </c>
      <c r="E28" s="17">
        <v>2746000</v>
      </c>
    </row>
    <row r="29" spans="1:5" ht="18" customHeight="1" x14ac:dyDescent="0.35">
      <c r="A29" s="131"/>
      <c r="B29" s="143"/>
      <c r="C29" s="158"/>
      <c r="D29" s="42" t="s">
        <v>239</v>
      </c>
      <c r="E29" s="17">
        <f>SUM(E28:E28)</f>
        <v>2746000</v>
      </c>
    </row>
    <row r="30" spans="1:5" ht="18" customHeight="1" x14ac:dyDescent="0.35">
      <c r="A30" s="143"/>
      <c r="B30" s="131" t="s">
        <v>9</v>
      </c>
      <c r="C30" s="143"/>
      <c r="D30" s="143"/>
      <c r="E30" s="17">
        <f>E27+E29</f>
        <v>4947000</v>
      </c>
    </row>
    <row r="31" spans="1:5" ht="18" customHeight="1" x14ac:dyDescent="0.35">
      <c r="A31" s="134" t="s">
        <v>188</v>
      </c>
      <c r="B31" s="137" t="s">
        <v>95</v>
      </c>
      <c r="C31" s="140" t="s">
        <v>189</v>
      </c>
      <c r="D31" s="141"/>
      <c r="E31" s="32">
        <f>509135700-768500+1765300</f>
        <v>510132500</v>
      </c>
    </row>
    <row r="32" spans="1:5" ht="18" customHeight="1" x14ac:dyDescent="0.35">
      <c r="A32" s="135"/>
      <c r="B32" s="138"/>
      <c r="C32" s="154" t="s">
        <v>185</v>
      </c>
      <c r="D32" s="155"/>
      <c r="E32" s="32">
        <v>76487925</v>
      </c>
    </row>
    <row r="33" spans="1:5" ht="18" customHeight="1" x14ac:dyDescent="0.35">
      <c r="A33" s="135"/>
      <c r="B33" s="139"/>
      <c r="C33" s="142" t="s">
        <v>38</v>
      </c>
      <c r="D33" s="141"/>
      <c r="E33" s="32">
        <f>SUM(E31:E32)</f>
        <v>586620425</v>
      </c>
    </row>
    <row r="34" spans="1:5" ht="18" customHeight="1" x14ac:dyDescent="0.35">
      <c r="A34" s="135"/>
      <c r="B34" s="131" t="s">
        <v>186</v>
      </c>
      <c r="C34" s="156" t="s">
        <v>98</v>
      </c>
      <c r="D34" s="27" t="s">
        <v>269</v>
      </c>
      <c r="E34" s="17">
        <v>154000</v>
      </c>
    </row>
    <row r="35" spans="1:5" ht="18" customHeight="1" x14ac:dyDescent="0.35">
      <c r="A35" s="135"/>
      <c r="B35" s="143"/>
      <c r="C35" s="158"/>
      <c r="D35" s="42" t="s">
        <v>239</v>
      </c>
      <c r="E35" s="17">
        <f>SUM(E34:E34)</f>
        <v>154000</v>
      </c>
    </row>
    <row r="36" spans="1:5" ht="18" customHeight="1" x14ac:dyDescent="0.35">
      <c r="A36" s="136"/>
      <c r="B36" s="131" t="s">
        <v>9</v>
      </c>
      <c r="C36" s="143"/>
      <c r="D36" s="143"/>
      <c r="E36" s="17">
        <f>SUM(E33,E35)</f>
        <v>586774425</v>
      </c>
    </row>
    <row r="37" spans="1:5" ht="18" customHeight="1" x14ac:dyDescent="0.35">
      <c r="A37" s="134" t="s">
        <v>190</v>
      </c>
      <c r="B37" s="137" t="s">
        <v>95</v>
      </c>
      <c r="C37" s="140" t="s">
        <v>181</v>
      </c>
      <c r="D37" s="141"/>
      <c r="E37" s="32">
        <f>611961156-1421696+2379840</f>
        <v>612919300</v>
      </c>
    </row>
    <row r="38" spans="1:5" ht="18" customHeight="1" x14ac:dyDescent="0.35">
      <c r="A38" s="135"/>
      <c r="B38" s="138"/>
      <c r="C38" s="140" t="s">
        <v>237</v>
      </c>
      <c r="D38" s="141"/>
      <c r="E38" s="32">
        <v>640451000</v>
      </c>
    </row>
    <row r="39" spans="1:5" ht="18" customHeight="1" x14ac:dyDescent="0.35">
      <c r="A39" s="135"/>
      <c r="B39" s="138"/>
      <c r="C39" s="140" t="s">
        <v>185</v>
      </c>
      <c r="D39" s="141"/>
      <c r="E39" s="32">
        <v>379407000</v>
      </c>
    </row>
    <row r="40" spans="1:5" ht="18" customHeight="1" x14ac:dyDescent="0.35">
      <c r="A40" s="135"/>
      <c r="B40" s="139"/>
      <c r="C40" s="142" t="s">
        <v>38</v>
      </c>
      <c r="D40" s="141"/>
      <c r="E40" s="32">
        <f>SUM(E37:E39)</f>
        <v>1632777300</v>
      </c>
    </row>
    <row r="41" spans="1:5" ht="18" customHeight="1" x14ac:dyDescent="0.35">
      <c r="A41" s="135"/>
      <c r="B41" s="131" t="s">
        <v>186</v>
      </c>
      <c r="C41" s="144" t="s">
        <v>98</v>
      </c>
      <c r="D41" s="27" t="s">
        <v>101</v>
      </c>
      <c r="E41" s="17">
        <v>523398876</v>
      </c>
    </row>
    <row r="42" spans="1:5" ht="18" customHeight="1" x14ac:dyDescent="0.35">
      <c r="A42" s="135"/>
      <c r="B42" s="131"/>
      <c r="C42" s="131"/>
      <c r="D42" s="27" t="s">
        <v>102</v>
      </c>
      <c r="E42" s="17">
        <v>361777401</v>
      </c>
    </row>
    <row r="43" spans="1:5" ht="18" customHeight="1" x14ac:dyDescent="0.35">
      <c r="A43" s="135"/>
      <c r="B43" s="143"/>
      <c r="C43" s="131" t="s">
        <v>38</v>
      </c>
      <c r="D43" s="143"/>
      <c r="E43" s="17">
        <f>SUM(E41:E42)</f>
        <v>885176277</v>
      </c>
    </row>
    <row r="44" spans="1:5" ht="18" customHeight="1" x14ac:dyDescent="0.35">
      <c r="A44" s="136"/>
      <c r="B44" s="131" t="s">
        <v>9</v>
      </c>
      <c r="C44" s="143"/>
      <c r="D44" s="143"/>
      <c r="E44" s="17">
        <f>SUM(E40,E43)</f>
        <v>2517953577</v>
      </c>
    </row>
    <row r="45" spans="1:5" ht="18" customHeight="1" x14ac:dyDescent="0.35">
      <c r="A45" s="137" t="s">
        <v>255</v>
      </c>
      <c r="B45" s="137" t="s">
        <v>251</v>
      </c>
      <c r="C45" s="90" t="s">
        <v>256</v>
      </c>
      <c r="D45" s="91"/>
      <c r="E45" s="32">
        <v>122935800</v>
      </c>
    </row>
    <row r="46" spans="1:5" ht="18" customHeight="1" x14ac:dyDescent="0.35">
      <c r="A46" s="138"/>
      <c r="B46" s="138"/>
      <c r="C46" s="92" t="s">
        <v>257</v>
      </c>
      <c r="D46" s="93"/>
      <c r="E46" s="32">
        <v>0</v>
      </c>
    </row>
    <row r="47" spans="1:5" ht="18" customHeight="1" x14ac:dyDescent="0.35">
      <c r="A47" s="138"/>
      <c r="B47" s="138"/>
      <c r="C47" s="92" t="s">
        <v>258</v>
      </c>
      <c r="D47" s="93"/>
      <c r="E47" s="32">
        <v>209516000</v>
      </c>
    </row>
    <row r="48" spans="1:5" ht="18" customHeight="1" x14ac:dyDescent="0.35">
      <c r="A48" s="138"/>
      <c r="B48" s="138"/>
      <c r="C48" s="92" t="s">
        <v>259</v>
      </c>
      <c r="D48" s="93"/>
      <c r="E48" s="32">
        <v>233235000</v>
      </c>
    </row>
    <row r="49" spans="1:5" ht="18" customHeight="1" x14ac:dyDescent="0.35">
      <c r="A49" s="138"/>
      <c r="B49" s="139"/>
      <c r="C49" s="151" t="s">
        <v>261</v>
      </c>
      <c r="D49" s="153"/>
      <c r="E49" s="32">
        <f>SUM(E45:E48)</f>
        <v>565686800</v>
      </c>
    </row>
    <row r="50" spans="1:5" ht="18" customHeight="1" x14ac:dyDescent="0.35">
      <c r="A50" s="138"/>
      <c r="B50" s="148" t="s">
        <v>96</v>
      </c>
      <c r="C50" s="146" t="s">
        <v>254</v>
      </c>
      <c r="D50" s="41" t="s">
        <v>260</v>
      </c>
      <c r="E50" s="32">
        <v>61240137</v>
      </c>
    </row>
    <row r="51" spans="1:5" ht="18" customHeight="1" x14ac:dyDescent="0.35">
      <c r="A51" s="138"/>
      <c r="B51" s="149"/>
      <c r="C51" s="147"/>
      <c r="D51" s="40" t="s">
        <v>91</v>
      </c>
      <c r="E51" s="32">
        <f>SUM(E50:E50)</f>
        <v>61240137</v>
      </c>
    </row>
    <row r="52" spans="1:5" ht="18" customHeight="1" x14ac:dyDescent="0.35">
      <c r="A52" s="138"/>
      <c r="B52" s="149"/>
      <c r="C52" s="145" t="s">
        <v>98</v>
      </c>
      <c r="D52" s="41"/>
      <c r="E52" s="32">
        <v>0</v>
      </c>
    </row>
    <row r="53" spans="1:5" ht="18" customHeight="1" x14ac:dyDescent="0.35">
      <c r="A53" s="138"/>
      <c r="B53" s="149"/>
      <c r="C53" s="142"/>
      <c r="D53" s="40" t="s">
        <v>91</v>
      </c>
      <c r="E53" s="32">
        <f>SUM(E52:E52)</f>
        <v>0</v>
      </c>
    </row>
    <row r="54" spans="1:5" ht="18" customHeight="1" x14ac:dyDescent="0.35">
      <c r="A54" s="138"/>
      <c r="B54" s="150"/>
      <c r="C54" s="142" t="s">
        <v>253</v>
      </c>
      <c r="D54" s="142"/>
      <c r="E54" s="32">
        <f>E51+E53</f>
        <v>61240137</v>
      </c>
    </row>
    <row r="55" spans="1:5" ht="18" customHeight="1" x14ac:dyDescent="0.35">
      <c r="A55" s="139"/>
      <c r="B55" s="151" t="s">
        <v>252</v>
      </c>
      <c r="C55" s="152"/>
      <c r="D55" s="153"/>
      <c r="E55" s="32">
        <f>E49+E54</f>
        <v>626926937</v>
      </c>
    </row>
    <row r="56" spans="1:5" x14ac:dyDescent="0.35">
      <c r="A56" s="131" t="s">
        <v>191</v>
      </c>
      <c r="B56" s="133" t="s">
        <v>192</v>
      </c>
      <c r="C56" s="133"/>
      <c r="D56" s="133"/>
      <c r="E56" s="36">
        <f>E10+E21+E27+E33+E40+E49</f>
        <v>12765019802</v>
      </c>
    </row>
    <row r="57" spans="1:5" x14ac:dyDescent="0.35">
      <c r="A57" s="131"/>
      <c r="B57" s="133" t="s">
        <v>193</v>
      </c>
      <c r="C57" s="133"/>
      <c r="D57" s="133"/>
      <c r="E57" s="36">
        <f>E17+E24+E43+E29+E51+E35</f>
        <v>11085357331</v>
      </c>
    </row>
    <row r="58" spans="1:5" x14ac:dyDescent="0.35">
      <c r="A58" s="94" t="s">
        <v>194</v>
      </c>
      <c r="B58" s="133" t="s">
        <v>192</v>
      </c>
      <c r="C58" s="133"/>
      <c r="D58" s="133"/>
      <c r="E58" s="95">
        <f>982855483+209516000</f>
        <v>1192371483</v>
      </c>
    </row>
    <row r="59" spans="1:5" x14ac:dyDescent="0.35">
      <c r="A59" s="131" t="s">
        <v>195</v>
      </c>
      <c r="B59" s="133" t="s">
        <v>192</v>
      </c>
      <c r="C59" s="133"/>
      <c r="D59" s="133"/>
      <c r="E59" s="36">
        <f>E56-E58</f>
        <v>11572648319</v>
      </c>
    </row>
    <row r="60" spans="1:5" x14ac:dyDescent="0.35">
      <c r="A60" s="131"/>
      <c r="B60" s="133" t="s">
        <v>193</v>
      </c>
      <c r="C60" s="133"/>
      <c r="D60" s="133"/>
      <c r="E60" s="36">
        <f>E57</f>
        <v>11085357331</v>
      </c>
    </row>
  </sheetData>
  <mergeCells count="65">
    <mergeCell ref="B45:B49"/>
    <mergeCell ref="C49:D49"/>
    <mergeCell ref="B18:D18"/>
    <mergeCell ref="A1:D1"/>
    <mergeCell ref="C3:D3"/>
    <mergeCell ref="B4:B10"/>
    <mergeCell ref="C4:D4"/>
    <mergeCell ref="C10:D10"/>
    <mergeCell ref="A2:B2"/>
    <mergeCell ref="C8:D8"/>
    <mergeCell ref="C9:D9"/>
    <mergeCell ref="A4:A18"/>
    <mergeCell ref="C7:D7"/>
    <mergeCell ref="C5:D5"/>
    <mergeCell ref="B11:B17"/>
    <mergeCell ref="C11:C13"/>
    <mergeCell ref="C6:D6"/>
    <mergeCell ref="C14:C16"/>
    <mergeCell ref="C17:D17"/>
    <mergeCell ref="A26:A30"/>
    <mergeCell ref="B26:B27"/>
    <mergeCell ref="C26:D26"/>
    <mergeCell ref="C27:D27"/>
    <mergeCell ref="B28:B29"/>
    <mergeCell ref="C28:C29"/>
    <mergeCell ref="B30:D30"/>
    <mergeCell ref="A19:A25"/>
    <mergeCell ref="B19:B21"/>
    <mergeCell ref="C19:D19"/>
    <mergeCell ref="C20:D20"/>
    <mergeCell ref="C21:D21"/>
    <mergeCell ref="B25:D25"/>
    <mergeCell ref="B22:B24"/>
    <mergeCell ref="C38:D38"/>
    <mergeCell ref="A31:A36"/>
    <mergeCell ref="B31:B33"/>
    <mergeCell ref="C31:D31"/>
    <mergeCell ref="C32:D32"/>
    <mergeCell ref="C33:D33"/>
    <mergeCell ref="B36:D36"/>
    <mergeCell ref="C22:C24"/>
    <mergeCell ref="C34:C35"/>
    <mergeCell ref="B34:B35"/>
    <mergeCell ref="A56:A57"/>
    <mergeCell ref="C52:C53"/>
    <mergeCell ref="C50:C51"/>
    <mergeCell ref="B50:B54"/>
    <mergeCell ref="C54:D54"/>
    <mergeCell ref="B55:D55"/>
    <mergeCell ref="A59:A60"/>
    <mergeCell ref="B59:D59"/>
    <mergeCell ref="B60:D60"/>
    <mergeCell ref="A37:A44"/>
    <mergeCell ref="B37:B40"/>
    <mergeCell ref="C37:D37"/>
    <mergeCell ref="C39:D39"/>
    <mergeCell ref="C40:D40"/>
    <mergeCell ref="B41:B43"/>
    <mergeCell ref="C41:C42"/>
    <mergeCell ref="C43:D43"/>
    <mergeCell ref="B44:D44"/>
    <mergeCell ref="B58:D58"/>
    <mergeCell ref="A45:A55"/>
    <mergeCell ref="B56:D56"/>
    <mergeCell ref="B57:D57"/>
  </mergeCells>
  <phoneticPr fontId="1"/>
  <pageMargins left="0.59055118110236227" right="0.39370078740157483" top="0.39370078740157483" bottom="0.39370078740157483" header="0.19685039370078741" footer="0.19685039370078741"/>
  <pageSetup paperSize="9" scale="60" orientation="portrait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B23" sqref="B23"/>
    </sheetView>
  </sheetViews>
  <sheetFormatPr defaultColWidth="8.875" defaultRowHeight="20.25" customHeight="1" x14ac:dyDescent="0.4"/>
  <cols>
    <col min="1" max="1" width="23.375" style="97" customWidth="1"/>
    <col min="2" max="6" width="13.75" style="97" customWidth="1"/>
    <col min="7" max="7" width="12.875" style="97" bestFit="1" customWidth="1"/>
    <col min="8" max="8" width="12.125" style="97" bestFit="1" customWidth="1"/>
    <col min="9" max="16384" width="8.875" style="97"/>
  </cols>
  <sheetData>
    <row r="1" spans="1:6" ht="20.25" customHeight="1" x14ac:dyDescent="0.4">
      <c r="A1" s="96" t="s">
        <v>214</v>
      </c>
      <c r="B1" s="96"/>
      <c r="C1" s="96"/>
      <c r="D1" s="96"/>
      <c r="E1" s="96"/>
      <c r="F1" s="46" t="s">
        <v>99</v>
      </c>
    </row>
    <row r="2" spans="1:6" ht="20.25" customHeight="1" x14ac:dyDescent="0.4">
      <c r="A2" s="159" t="s">
        <v>80</v>
      </c>
      <c r="B2" s="161" t="s">
        <v>88</v>
      </c>
      <c r="C2" s="161" t="s">
        <v>129</v>
      </c>
      <c r="D2" s="161"/>
      <c r="E2" s="161"/>
      <c r="F2" s="161"/>
    </row>
    <row r="3" spans="1:6" ht="20.25" customHeight="1" x14ac:dyDescent="0.4">
      <c r="A3" s="159"/>
      <c r="B3" s="161"/>
      <c r="C3" s="161" t="s">
        <v>96</v>
      </c>
      <c r="D3" s="161" t="s">
        <v>130</v>
      </c>
      <c r="E3" s="161" t="s">
        <v>95</v>
      </c>
      <c r="F3" s="161" t="s">
        <v>29</v>
      </c>
    </row>
    <row r="4" spans="1:6" ht="20.25" customHeight="1" thickBot="1" x14ac:dyDescent="0.45">
      <c r="A4" s="160"/>
      <c r="B4" s="162"/>
      <c r="C4" s="162"/>
      <c r="D4" s="162"/>
      <c r="E4" s="162"/>
      <c r="F4" s="162"/>
    </row>
    <row r="5" spans="1:6" ht="20.25" customHeight="1" thickTop="1" x14ac:dyDescent="0.4">
      <c r="A5" s="98" t="s">
        <v>100</v>
      </c>
      <c r="B5" s="99">
        <v>22385936280</v>
      </c>
      <c r="C5" s="99">
        <f>C9-C8-C7-C6</f>
        <v>10966699703</v>
      </c>
      <c r="D5" s="99">
        <f>+D9-D6</f>
        <v>850973996</v>
      </c>
      <c r="E5" s="99">
        <f>E9-E7-E6-E8</f>
        <v>8118376690</v>
      </c>
      <c r="F5" s="99">
        <f>B5-C5-D5-E5</f>
        <v>2449885891</v>
      </c>
    </row>
    <row r="6" spans="1:6" ht="20.25" customHeight="1" x14ac:dyDescent="0.4">
      <c r="A6" s="98" t="s">
        <v>131</v>
      </c>
      <c r="B6" s="99">
        <v>1190113968</v>
      </c>
      <c r="C6" s="100">
        <v>118657628</v>
      </c>
      <c r="D6" s="100">
        <v>300326004</v>
      </c>
      <c r="E6" s="100">
        <f>B6-C6-D6-F6</f>
        <v>733833189</v>
      </c>
      <c r="F6" s="99">
        <v>37297147</v>
      </c>
    </row>
    <row r="7" spans="1:6" ht="20.25" customHeight="1" x14ac:dyDescent="0.4">
      <c r="A7" s="98" t="s">
        <v>132</v>
      </c>
      <c r="B7" s="99">
        <v>943055842</v>
      </c>
      <c r="C7" s="99">
        <v>0</v>
      </c>
      <c r="D7" s="99">
        <v>0</v>
      </c>
      <c r="E7" s="99">
        <f>B7</f>
        <v>943055842</v>
      </c>
      <c r="F7" s="99">
        <v>0</v>
      </c>
    </row>
    <row r="8" spans="1:6" ht="20.25" customHeight="1" x14ac:dyDescent="0.4">
      <c r="A8" s="98" t="s">
        <v>29</v>
      </c>
      <c r="B8" s="99">
        <v>0</v>
      </c>
      <c r="C8" s="99">
        <v>0</v>
      </c>
      <c r="D8" s="99">
        <v>0</v>
      </c>
      <c r="E8" s="100">
        <v>0</v>
      </c>
      <c r="F8" s="99">
        <v>0</v>
      </c>
    </row>
    <row r="9" spans="1:6" ht="20.25" customHeight="1" x14ac:dyDescent="0.4">
      <c r="A9" s="101" t="s">
        <v>9</v>
      </c>
      <c r="B9" s="99">
        <f>SUM(B5:B8)</f>
        <v>24519106090</v>
      </c>
      <c r="C9" s="99">
        <v>11085357331</v>
      </c>
      <c r="D9" s="99">
        <v>1151300000</v>
      </c>
      <c r="E9" s="99">
        <f>11052227065-1256961344</f>
        <v>9795265721</v>
      </c>
      <c r="F9" s="99">
        <f>SUM(F5:F8)</f>
        <v>2487183038</v>
      </c>
    </row>
  </sheetData>
  <mergeCells count="7">
    <mergeCell ref="A2:A4"/>
    <mergeCell ref="B2:B4"/>
    <mergeCell ref="C2:F2"/>
    <mergeCell ref="C3:C4"/>
    <mergeCell ref="D3:D4"/>
    <mergeCell ref="E3:E4"/>
    <mergeCell ref="F3:F4"/>
  </mergeCells>
  <phoneticPr fontId="1"/>
  <printOptions horizontalCentered="1"/>
  <pageMargins left="0.59055118110236227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workbookViewId="0">
      <selection activeCell="A16" sqref="A16"/>
    </sheetView>
  </sheetViews>
  <sheetFormatPr defaultColWidth="8.875" defaultRowHeight="15.75" x14ac:dyDescent="0.35"/>
  <cols>
    <col min="1" max="1" width="18.625" style="1" bestFit="1" customWidth="1"/>
    <col min="2" max="2" width="40.875" style="1" customWidth="1"/>
    <col min="3" max="16384" width="8.875" style="1"/>
  </cols>
  <sheetData>
    <row r="1" spans="1:4" ht="19.5" x14ac:dyDescent="0.4">
      <c r="A1" s="163" t="s">
        <v>215</v>
      </c>
      <c r="B1" s="163"/>
      <c r="C1" s="163"/>
      <c r="D1" s="163"/>
    </row>
    <row r="2" spans="1:4" ht="19.5" x14ac:dyDescent="0.4">
      <c r="A2" s="9" t="s">
        <v>226</v>
      </c>
      <c r="B2" s="11" t="s">
        <v>24</v>
      </c>
    </row>
    <row r="3" spans="1:4" ht="22.5" customHeight="1" x14ac:dyDescent="0.35">
      <c r="A3" s="10" t="s">
        <v>25</v>
      </c>
      <c r="B3" s="10" t="s">
        <v>84</v>
      </c>
    </row>
    <row r="4" spans="1:4" ht="18" customHeight="1" x14ac:dyDescent="0.35">
      <c r="A4" s="5" t="s">
        <v>227</v>
      </c>
      <c r="B4" s="30">
        <v>1304261414</v>
      </c>
    </row>
    <row r="5" spans="1:4" ht="18" customHeight="1" x14ac:dyDescent="0.35">
      <c r="A5" s="12" t="s">
        <v>9</v>
      </c>
      <c r="B5" s="102">
        <f>SUM(B4:B4)</f>
        <v>1304261414</v>
      </c>
    </row>
    <row r="6" spans="1:4" ht="18" customHeight="1" x14ac:dyDescent="0.35">
      <c r="B6" s="14"/>
    </row>
    <row r="7" spans="1:4" ht="18" customHeight="1" x14ac:dyDescent="0.35">
      <c r="B7" s="14"/>
    </row>
    <row r="8" spans="1:4" ht="18" customHeight="1" x14ac:dyDescent="0.35"/>
    <row r="9" spans="1:4" ht="18" customHeight="1" x14ac:dyDescent="0.35"/>
  </sheetData>
  <mergeCells count="1">
    <mergeCell ref="A1:D1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2"/>
  <sheetViews>
    <sheetView zoomScaleNormal="100" workbookViewId="0">
      <selection activeCell="L11" sqref="L11"/>
    </sheetView>
  </sheetViews>
  <sheetFormatPr defaultColWidth="8.875" defaultRowHeight="15.75" x14ac:dyDescent="0.35"/>
  <cols>
    <col min="1" max="1" width="22.375" style="18" customWidth="1"/>
    <col min="2" max="9" width="13.75" style="18" customWidth="1"/>
    <col min="10" max="16384" width="8.875" style="18"/>
  </cols>
  <sheetData>
    <row r="2" spans="1:9" ht="19.5" x14ac:dyDescent="0.35">
      <c r="A2" s="106" t="s">
        <v>202</v>
      </c>
      <c r="B2" s="106"/>
      <c r="C2" s="106"/>
      <c r="D2" s="49"/>
      <c r="E2" s="49"/>
      <c r="F2" s="49"/>
      <c r="G2" s="49"/>
      <c r="H2" s="49"/>
      <c r="I2" s="50" t="s">
        <v>99</v>
      </c>
    </row>
    <row r="3" spans="1:9" ht="31.5" x14ac:dyDescent="0.35">
      <c r="A3" s="47" t="s">
        <v>80</v>
      </c>
      <c r="B3" s="48" t="s">
        <v>122</v>
      </c>
      <c r="C3" s="47" t="s">
        <v>123</v>
      </c>
      <c r="D3" s="47" t="s">
        <v>124</v>
      </c>
      <c r="E3" s="47" t="s">
        <v>125</v>
      </c>
      <c r="F3" s="47" t="s">
        <v>126</v>
      </c>
      <c r="G3" s="47" t="s">
        <v>127</v>
      </c>
      <c r="H3" s="47" t="s">
        <v>128</v>
      </c>
      <c r="I3" s="47" t="s">
        <v>9</v>
      </c>
    </row>
    <row r="4" spans="1:9" x14ac:dyDescent="0.35">
      <c r="A4" s="27" t="s">
        <v>111</v>
      </c>
      <c r="B4" s="28">
        <f t="shared" ref="B4:H4" si="0">SUM(B5:B13)</f>
        <v>122996374</v>
      </c>
      <c r="C4" s="28">
        <f t="shared" si="0"/>
        <v>16970868931</v>
      </c>
      <c r="D4" s="28">
        <f t="shared" si="0"/>
        <v>3550360500</v>
      </c>
      <c r="E4" s="28">
        <f t="shared" si="0"/>
        <v>326994783</v>
      </c>
      <c r="F4" s="28">
        <f t="shared" si="0"/>
        <v>198593495</v>
      </c>
      <c r="G4" s="28">
        <f t="shared" si="0"/>
        <v>148009691</v>
      </c>
      <c r="H4" s="28">
        <f t="shared" si="0"/>
        <v>3283173670</v>
      </c>
      <c r="I4" s="28">
        <f>SUM(B4:H4)</f>
        <v>24600997444</v>
      </c>
    </row>
    <row r="5" spans="1:9" x14ac:dyDescent="0.35">
      <c r="A5" s="27" t="s">
        <v>112</v>
      </c>
      <c r="B5" s="28">
        <v>67928614</v>
      </c>
      <c r="C5" s="28">
        <v>10517337939</v>
      </c>
      <c r="D5" s="28">
        <v>1423522174</v>
      </c>
      <c r="E5" s="28">
        <v>254094244</v>
      </c>
      <c r="F5" s="28">
        <v>197792664</v>
      </c>
      <c r="G5" s="28">
        <v>27349819</v>
      </c>
      <c r="H5" s="28">
        <v>2068264915</v>
      </c>
      <c r="I5" s="28">
        <f t="shared" ref="I5:I21" si="1">SUM(B5:H5)</f>
        <v>14556290369</v>
      </c>
    </row>
    <row r="6" spans="1:9" x14ac:dyDescent="0.35">
      <c r="A6" s="27" t="s">
        <v>113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f t="shared" si="1"/>
        <v>0</v>
      </c>
    </row>
    <row r="7" spans="1:9" x14ac:dyDescent="0.35">
      <c r="A7" s="27" t="s">
        <v>114</v>
      </c>
      <c r="B7" s="28">
        <v>42288950</v>
      </c>
      <c r="C7" s="28">
        <v>6350591168</v>
      </c>
      <c r="D7" s="28">
        <v>2125813671</v>
      </c>
      <c r="E7" s="28">
        <v>72900539</v>
      </c>
      <c r="F7" s="28">
        <v>800831</v>
      </c>
      <c r="G7" s="28">
        <v>38331245</v>
      </c>
      <c r="H7" s="28">
        <v>1147650354</v>
      </c>
      <c r="I7" s="28">
        <f t="shared" si="1"/>
        <v>9778376758</v>
      </c>
    </row>
    <row r="8" spans="1:9" x14ac:dyDescent="0.35">
      <c r="A8" s="27" t="s">
        <v>115</v>
      </c>
      <c r="B8" s="28">
        <v>1265000</v>
      </c>
      <c r="C8" s="28">
        <v>88738504</v>
      </c>
      <c r="D8" s="28">
        <v>1024655</v>
      </c>
      <c r="E8" s="28">
        <v>0</v>
      </c>
      <c r="F8" s="28">
        <v>0</v>
      </c>
      <c r="G8" s="28">
        <v>80935427</v>
      </c>
      <c r="H8" s="28">
        <v>67258401</v>
      </c>
      <c r="I8" s="28">
        <f t="shared" si="1"/>
        <v>239221987</v>
      </c>
    </row>
    <row r="9" spans="1:9" x14ac:dyDescent="0.35">
      <c r="A9" s="27" t="s">
        <v>116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f t="shared" si="1"/>
        <v>0</v>
      </c>
    </row>
    <row r="10" spans="1:9" x14ac:dyDescent="0.35">
      <c r="A10" s="27" t="s">
        <v>117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f t="shared" si="1"/>
        <v>0</v>
      </c>
    </row>
    <row r="11" spans="1:9" x14ac:dyDescent="0.35">
      <c r="A11" s="27" t="s">
        <v>118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f t="shared" si="1"/>
        <v>0</v>
      </c>
    </row>
    <row r="12" spans="1:9" x14ac:dyDescent="0.35">
      <c r="A12" s="27" t="s">
        <v>139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f t="shared" si="1"/>
        <v>0</v>
      </c>
    </row>
    <row r="13" spans="1:9" x14ac:dyDescent="0.35">
      <c r="A13" s="27" t="s">
        <v>119</v>
      </c>
      <c r="B13" s="28">
        <v>11513810</v>
      </c>
      <c r="C13" s="28">
        <v>14201320</v>
      </c>
      <c r="D13" s="28">
        <v>0</v>
      </c>
      <c r="E13" s="28">
        <v>0</v>
      </c>
      <c r="F13" s="28">
        <v>0</v>
      </c>
      <c r="G13" s="28">
        <v>1393200</v>
      </c>
      <c r="H13" s="28">
        <v>0</v>
      </c>
      <c r="I13" s="28">
        <f t="shared" si="1"/>
        <v>27108330</v>
      </c>
    </row>
    <row r="14" spans="1:9" x14ac:dyDescent="0.35">
      <c r="A14" s="27" t="s">
        <v>120</v>
      </c>
      <c r="B14" s="28">
        <f t="shared" ref="B14:H14" si="2">SUM(B15:B19)</f>
        <v>29687453096</v>
      </c>
      <c r="C14" s="28">
        <f t="shared" si="2"/>
        <v>3066112</v>
      </c>
      <c r="D14" s="28">
        <f t="shared" si="2"/>
        <v>55532832</v>
      </c>
      <c r="E14" s="28">
        <f t="shared" si="2"/>
        <v>0</v>
      </c>
      <c r="F14" s="28">
        <f t="shared" si="2"/>
        <v>0</v>
      </c>
      <c r="G14" s="28">
        <f t="shared" si="2"/>
        <v>0</v>
      </c>
      <c r="H14" s="28">
        <f t="shared" si="2"/>
        <v>31</v>
      </c>
      <c r="I14" s="28">
        <f>SUM(B14:H14)</f>
        <v>29746052071</v>
      </c>
    </row>
    <row r="15" spans="1:9" x14ac:dyDescent="0.35">
      <c r="A15" s="27" t="s">
        <v>112</v>
      </c>
      <c r="B15" s="28">
        <f>8940624705+254195227</f>
        <v>9194819932</v>
      </c>
      <c r="C15" s="28">
        <v>4</v>
      </c>
      <c r="D15" s="28">
        <v>54443149</v>
      </c>
      <c r="E15" s="28">
        <v>0</v>
      </c>
      <c r="F15" s="28">
        <f>25327898-25327898</f>
        <v>0</v>
      </c>
      <c r="G15" s="28">
        <v>0</v>
      </c>
      <c r="H15" s="28">
        <v>31</v>
      </c>
      <c r="I15" s="28">
        <f>SUM(B15:H15)</f>
        <v>9249263116</v>
      </c>
    </row>
    <row r="16" spans="1:9" x14ac:dyDescent="0.35">
      <c r="A16" s="27" t="s">
        <v>114</v>
      </c>
      <c r="B16" s="28">
        <v>41535879</v>
      </c>
      <c r="C16" s="28">
        <v>0</v>
      </c>
      <c r="D16" s="28">
        <v>0</v>
      </c>
      <c r="E16" s="28">
        <v>0</v>
      </c>
      <c r="F16" s="28">
        <f>1-1</f>
        <v>0</v>
      </c>
      <c r="G16" s="28">
        <v>0</v>
      </c>
      <c r="H16" s="28">
        <v>0</v>
      </c>
      <c r="I16" s="28">
        <f t="shared" si="1"/>
        <v>41535879</v>
      </c>
    </row>
    <row r="17" spans="1:9" x14ac:dyDescent="0.35">
      <c r="A17" s="27" t="s">
        <v>115</v>
      </c>
      <c r="B17" s="28">
        <f>8304891652+12074898234</f>
        <v>20379789886</v>
      </c>
      <c r="C17" s="28">
        <v>3066108</v>
      </c>
      <c r="D17" s="28">
        <v>1089683</v>
      </c>
      <c r="E17" s="28">
        <v>0</v>
      </c>
      <c r="F17" s="28">
        <f>67380978-67380978</f>
        <v>0</v>
      </c>
      <c r="G17" s="28">
        <v>0</v>
      </c>
      <c r="H17" s="28">
        <v>0</v>
      </c>
      <c r="I17" s="28">
        <f t="shared" si="1"/>
        <v>20383945677</v>
      </c>
    </row>
    <row r="18" spans="1:9" x14ac:dyDescent="0.35">
      <c r="A18" s="27" t="s">
        <v>139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f t="shared" si="1"/>
        <v>0</v>
      </c>
    </row>
    <row r="19" spans="1:9" x14ac:dyDescent="0.35">
      <c r="A19" s="27" t="s">
        <v>119</v>
      </c>
      <c r="B19" s="28">
        <f>24722399+46585000</f>
        <v>71307399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f t="shared" si="1"/>
        <v>71307399</v>
      </c>
    </row>
    <row r="20" spans="1:9" x14ac:dyDescent="0.35">
      <c r="A20" s="27" t="s">
        <v>121</v>
      </c>
      <c r="B20" s="28">
        <f>1+77393163</f>
        <v>77393164</v>
      </c>
      <c r="C20" s="28">
        <v>190139456</v>
      </c>
      <c r="D20" s="28">
        <f>4061853+1852199</f>
        <v>5914052</v>
      </c>
      <c r="E20" s="28">
        <v>2551271</v>
      </c>
      <c r="F20" s="28">
        <v>0</v>
      </c>
      <c r="G20" s="28">
        <v>12058419</v>
      </c>
      <c r="H20" s="28">
        <v>208417373</v>
      </c>
      <c r="I20" s="28">
        <f t="shared" si="1"/>
        <v>496473735</v>
      </c>
    </row>
    <row r="21" spans="1:9" x14ac:dyDescent="0.35">
      <c r="A21" s="27" t="s">
        <v>9</v>
      </c>
      <c r="B21" s="28">
        <f t="shared" ref="B21:H21" si="3">B4+B14+B20</f>
        <v>29887842634</v>
      </c>
      <c r="C21" s="28">
        <f t="shared" si="3"/>
        <v>17164074499</v>
      </c>
      <c r="D21" s="28">
        <f t="shared" si="3"/>
        <v>3611807384</v>
      </c>
      <c r="E21" s="28">
        <f t="shared" si="3"/>
        <v>329546054</v>
      </c>
      <c r="F21" s="28">
        <f t="shared" si="3"/>
        <v>198593495</v>
      </c>
      <c r="G21" s="28">
        <f t="shared" si="3"/>
        <v>160068110</v>
      </c>
      <c r="H21" s="28">
        <f t="shared" si="3"/>
        <v>3491591074</v>
      </c>
      <c r="I21" s="28">
        <f t="shared" si="1"/>
        <v>54843523250</v>
      </c>
    </row>
    <row r="22" spans="1:9" x14ac:dyDescent="0.35">
      <c r="B22" s="24"/>
      <c r="C22" s="24"/>
      <c r="D22" s="24"/>
      <c r="E22" s="24"/>
      <c r="F22" s="24"/>
      <c r="G22" s="24"/>
      <c r="H22" s="24"/>
      <c r="I22" s="24"/>
    </row>
  </sheetData>
  <mergeCells count="1">
    <mergeCell ref="A2:C2"/>
  </mergeCells>
  <phoneticPr fontId="1"/>
  <pageMargins left="0.59055118110236227" right="0.39370078740157483" top="0.39370078740157483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85" zoomScaleNormal="85" workbookViewId="0">
      <selection activeCell="D21" sqref="D21"/>
    </sheetView>
  </sheetViews>
  <sheetFormatPr defaultColWidth="8.875" defaultRowHeight="15.75" x14ac:dyDescent="0.35"/>
  <cols>
    <col min="1" max="1" width="35.5" style="18" bestFit="1" customWidth="1"/>
    <col min="2" max="11" width="15.375" style="18" customWidth="1"/>
    <col min="12" max="16384" width="8.875" style="18"/>
  </cols>
  <sheetData>
    <row r="1" spans="1:11" ht="19.5" x14ac:dyDescent="0.4">
      <c r="A1" s="51" t="s">
        <v>228</v>
      </c>
    </row>
    <row r="2" spans="1:11" ht="16.5" x14ac:dyDescent="0.35">
      <c r="A2" s="52" t="s">
        <v>0</v>
      </c>
      <c r="H2" s="50" t="s">
        <v>141</v>
      </c>
    </row>
    <row r="3" spans="1:11" ht="47.25" x14ac:dyDescent="0.35">
      <c r="A3" s="53" t="s">
        <v>1</v>
      </c>
      <c r="B3" s="54" t="s">
        <v>2</v>
      </c>
      <c r="C3" s="54" t="s">
        <v>3</v>
      </c>
      <c r="D3" s="54" t="s">
        <v>4</v>
      </c>
      <c r="E3" s="54" t="s">
        <v>5</v>
      </c>
      <c r="F3" s="54" t="s">
        <v>6</v>
      </c>
      <c r="G3" s="54" t="s">
        <v>7</v>
      </c>
      <c r="H3" s="54" t="s">
        <v>8</v>
      </c>
    </row>
    <row r="4" spans="1:11" ht="18" customHeight="1" x14ac:dyDescent="0.35">
      <c r="A4" s="27"/>
      <c r="B4" s="13"/>
      <c r="C4" s="13"/>
      <c r="D4" s="13"/>
      <c r="E4" s="13"/>
      <c r="F4" s="13"/>
      <c r="G4" s="13"/>
      <c r="H4" s="13"/>
    </row>
    <row r="5" spans="1:11" ht="18" customHeight="1" x14ac:dyDescent="0.35">
      <c r="A5" s="27"/>
      <c r="B5" s="13"/>
      <c r="C5" s="13"/>
      <c r="D5" s="13"/>
      <c r="E5" s="13"/>
      <c r="F5" s="13"/>
      <c r="G5" s="13"/>
      <c r="H5" s="13"/>
    </row>
    <row r="6" spans="1:11" ht="18" customHeight="1" x14ac:dyDescent="0.35">
      <c r="A6" s="39" t="s">
        <v>9</v>
      </c>
      <c r="B6" s="13"/>
      <c r="C6" s="13"/>
      <c r="D6" s="13"/>
      <c r="E6" s="13"/>
      <c r="F6" s="13"/>
      <c r="G6" s="13"/>
      <c r="H6" s="13"/>
    </row>
    <row r="8" spans="1:11" ht="18.75" x14ac:dyDescent="0.4">
      <c r="A8" s="107" t="s">
        <v>10</v>
      </c>
      <c r="B8" s="107"/>
      <c r="C8" s="107"/>
      <c r="J8" s="55" t="s">
        <v>24</v>
      </c>
    </row>
    <row r="9" spans="1:11" ht="47.25" x14ac:dyDescent="0.35">
      <c r="A9" s="53" t="s">
        <v>11</v>
      </c>
      <c r="B9" s="54" t="s">
        <v>12</v>
      </c>
      <c r="C9" s="54" t="s">
        <v>13</v>
      </c>
      <c r="D9" s="54" t="s">
        <v>14</v>
      </c>
      <c r="E9" s="54" t="s">
        <v>15</v>
      </c>
      <c r="F9" s="54" t="s">
        <v>16</v>
      </c>
      <c r="G9" s="54" t="s">
        <v>17</v>
      </c>
      <c r="H9" s="54" t="s">
        <v>18</v>
      </c>
      <c r="I9" s="54" t="s">
        <v>19</v>
      </c>
      <c r="J9" s="54" t="s">
        <v>8</v>
      </c>
    </row>
    <row r="10" spans="1:11" ht="18" customHeight="1" x14ac:dyDescent="0.35">
      <c r="A10" s="27" t="s">
        <v>240</v>
      </c>
      <c r="B10" s="13">
        <v>3000000</v>
      </c>
      <c r="C10" s="28">
        <v>124125274</v>
      </c>
      <c r="D10" s="28">
        <v>118738827</v>
      </c>
      <c r="E10" s="13">
        <v>5386447</v>
      </c>
      <c r="F10" s="13">
        <v>15000000</v>
      </c>
      <c r="G10" s="56">
        <v>0.2</v>
      </c>
      <c r="H10" s="13">
        <v>1077289.4000000001</v>
      </c>
      <c r="I10" s="17">
        <v>0</v>
      </c>
      <c r="J10" s="13">
        <v>3000000</v>
      </c>
    </row>
    <row r="11" spans="1:11" ht="18" customHeight="1" x14ac:dyDescent="0.35">
      <c r="A11" s="27" t="s">
        <v>229</v>
      </c>
      <c r="B11" s="13">
        <v>10000000</v>
      </c>
      <c r="C11" s="13">
        <v>237336833</v>
      </c>
      <c r="D11" s="13">
        <v>136863936</v>
      </c>
      <c r="E11" s="13">
        <v>100472897</v>
      </c>
      <c r="F11" s="13">
        <v>10000000</v>
      </c>
      <c r="G11" s="56">
        <v>1</v>
      </c>
      <c r="H11" s="13">
        <v>100472897</v>
      </c>
      <c r="I11" s="17">
        <v>0</v>
      </c>
      <c r="J11" s="13">
        <v>10000000</v>
      </c>
    </row>
    <row r="12" spans="1:11" ht="18" customHeight="1" x14ac:dyDescent="0.35">
      <c r="A12" s="39" t="s">
        <v>9</v>
      </c>
      <c r="B12" s="13">
        <f>SUM(B10:B11)</f>
        <v>13000000</v>
      </c>
      <c r="C12" s="13">
        <f>SUM(C10:C11)</f>
        <v>361462107</v>
      </c>
      <c r="D12" s="13">
        <f t="shared" ref="D12:J12" si="0">SUM(D10:D11)</f>
        <v>255602763</v>
      </c>
      <c r="E12" s="13">
        <f t="shared" si="0"/>
        <v>105859344</v>
      </c>
      <c r="F12" s="13">
        <f t="shared" si="0"/>
        <v>25000000</v>
      </c>
      <c r="G12" s="16"/>
      <c r="H12" s="13">
        <f t="shared" si="0"/>
        <v>101550186.40000001</v>
      </c>
      <c r="I12" s="13">
        <f t="shared" si="0"/>
        <v>0</v>
      </c>
      <c r="J12" s="13">
        <f t="shared" si="0"/>
        <v>13000000</v>
      </c>
    </row>
    <row r="14" spans="1:11" ht="18.75" x14ac:dyDescent="0.4">
      <c r="A14" s="107" t="s">
        <v>20</v>
      </c>
      <c r="B14" s="107"/>
      <c r="C14" s="107"/>
      <c r="K14" s="55" t="s">
        <v>24</v>
      </c>
    </row>
    <row r="15" spans="1:11" ht="47.25" x14ac:dyDescent="0.35">
      <c r="A15" s="53" t="s">
        <v>11</v>
      </c>
      <c r="B15" s="54" t="s">
        <v>21</v>
      </c>
      <c r="C15" s="54" t="s">
        <v>13</v>
      </c>
      <c r="D15" s="54" t="s">
        <v>14</v>
      </c>
      <c r="E15" s="54" t="s">
        <v>15</v>
      </c>
      <c r="F15" s="54" t="s">
        <v>16</v>
      </c>
      <c r="G15" s="54" t="s">
        <v>17</v>
      </c>
      <c r="H15" s="54" t="s">
        <v>18</v>
      </c>
      <c r="I15" s="54" t="s">
        <v>22</v>
      </c>
      <c r="J15" s="54" t="s">
        <v>23</v>
      </c>
      <c r="K15" s="54" t="s">
        <v>8</v>
      </c>
    </row>
    <row r="16" spans="1:11" ht="18" customHeight="1" x14ac:dyDescent="0.35">
      <c r="A16" s="27" t="s">
        <v>140</v>
      </c>
      <c r="B16" s="13">
        <v>1600000</v>
      </c>
      <c r="C16" s="13">
        <v>24857606000000</v>
      </c>
      <c r="D16" s="13">
        <v>24516985000000</v>
      </c>
      <c r="E16" s="28">
        <f>C16-D16</f>
        <v>340621000000</v>
      </c>
      <c r="F16" s="13">
        <v>16602000000</v>
      </c>
      <c r="G16" s="57">
        <f>B16/F16</f>
        <v>9.6373930851704616E-5</v>
      </c>
      <c r="H16" s="13">
        <f>E16*G16</f>
        <v>32826984.700638477</v>
      </c>
      <c r="I16" s="17">
        <v>0</v>
      </c>
      <c r="J16" s="28">
        <f>B16-I16</f>
        <v>1600000</v>
      </c>
      <c r="K16" s="13">
        <v>1600000</v>
      </c>
    </row>
    <row r="17" spans="1:11" ht="18" customHeight="1" x14ac:dyDescent="0.35">
      <c r="A17" s="27" t="s">
        <v>230</v>
      </c>
      <c r="B17" s="13">
        <v>150000</v>
      </c>
      <c r="C17" s="13">
        <v>400270841</v>
      </c>
      <c r="D17" s="13">
        <v>50584566</v>
      </c>
      <c r="E17" s="13">
        <f>C17-D17</f>
        <v>349686275</v>
      </c>
      <c r="F17" s="13">
        <v>345731273</v>
      </c>
      <c r="G17" s="57">
        <f t="shared" ref="G17:G22" si="1">B17/F17</f>
        <v>4.3386297889227971E-4</v>
      </c>
      <c r="H17" s="28">
        <f t="shared" ref="H17:H22" si="2">E17*G17</f>
        <v>151715.92894924493</v>
      </c>
      <c r="I17" s="17">
        <v>0</v>
      </c>
      <c r="J17" s="28">
        <f t="shared" ref="J17:J22" si="3">B17-I17</f>
        <v>150000</v>
      </c>
      <c r="K17" s="13">
        <v>150000</v>
      </c>
    </row>
    <row r="18" spans="1:11" ht="18" customHeight="1" x14ac:dyDescent="0.35">
      <c r="A18" s="27" t="s">
        <v>231</v>
      </c>
      <c r="B18" s="13">
        <v>210000</v>
      </c>
      <c r="C18" s="13">
        <v>4592115846</v>
      </c>
      <c r="D18" s="13">
        <v>247498044</v>
      </c>
      <c r="E18" s="13">
        <v>4289697555</v>
      </c>
      <c r="F18" s="13">
        <v>3052920000</v>
      </c>
      <c r="G18" s="57">
        <f t="shared" si="1"/>
        <v>6.8786604300145434E-5</v>
      </c>
      <c r="H18" s="28">
        <f t="shared" si="2"/>
        <v>295073.72828308638</v>
      </c>
      <c r="I18" s="17">
        <v>0</v>
      </c>
      <c r="J18" s="28">
        <f t="shared" si="3"/>
        <v>210000</v>
      </c>
      <c r="K18" s="13">
        <v>210000</v>
      </c>
    </row>
    <row r="19" spans="1:11" ht="18" customHeight="1" x14ac:dyDescent="0.35">
      <c r="A19" s="38" t="s">
        <v>262</v>
      </c>
      <c r="B19" s="28">
        <v>40000</v>
      </c>
      <c r="C19" s="28">
        <v>253209797</v>
      </c>
      <c r="D19" s="28">
        <v>19422634</v>
      </c>
      <c r="E19" s="28">
        <f>C19-D19</f>
        <v>233787163</v>
      </c>
      <c r="F19" s="28">
        <v>132660000</v>
      </c>
      <c r="G19" s="57">
        <f t="shared" si="1"/>
        <v>3.0152268958239106E-4</v>
      </c>
      <c r="H19" s="28">
        <f t="shared" si="2"/>
        <v>70492.134177596861</v>
      </c>
      <c r="I19" s="17">
        <v>0</v>
      </c>
      <c r="J19" s="28">
        <f t="shared" si="3"/>
        <v>40000</v>
      </c>
      <c r="K19" s="28">
        <v>40000</v>
      </c>
    </row>
    <row r="20" spans="1:11" ht="18" customHeight="1" x14ac:dyDescent="0.35">
      <c r="A20" s="27" t="s">
        <v>263</v>
      </c>
      <c r="B20" s="13">
        <v>208000</v>
      </c>
      <c r="C20" s="13">
        <v>4324261838</v>
      </c>
      <c r="D20" s="13">
        <v>3963525106</v>
      </c>
      <c r="E20" s="28">
        <f>C20-D20</f>
        <v>360736732</v>
      </c>
      <c r="F20" s="13">
        <v>222887276</v>
      </c>
      <c r="G20" s="57">
        <f>B20/F20</f>
        <v>9.3320715176222087E-4</v>
      </c>
      <c r="H20" s="28">
        <f>E20*G20</f>
        <v>336642.0982057316</v>
      </c>
      <c r="I20" s="17">
        <v>0</v>
      </c>
      <c r="J20" s="28">
        <f t="shared" si="3"/>
        <v>208000</v>
      </c>
      <c r="K20" s="13">
        <v>208000</v>
      </c>
    </row>
    <row r="21" spans="1:11" ht="18" customHeight="1" x14ac:dyDescent="0.35">
      <c r="A21" s="27" t="s">
        <v>232</v>
      </c>
      <c r="B21" s="13">
        <v>50000</v>
      </c>
      <c r="C21" s="13">
        <v>2745303110</v>
      </c>
      <c r="D21" s="13">
        <v>656645364</v>
      </c>
      <c r="E21" s="13">
        <v>2248629128</v>
      </c>
      <c r="F21" s="13">
        <v>412600000</v>
      </c>
      <c r="G21" s="57">
        <f t="shared" si="1"/>
        <v>1.211827435773146E-4</v>
      </c>
      <c r="H21" s="28">
        <f t="shared" si="2"/>
        <v>272495.04701890453</v>
      </c>
      <c r="I21" s="17">
        <v>0</v>
      </c>
      <c r="J21" s="28">
        <f t="shared" si="3"/>
        <v>50000</v>
      </c>
      <c r="K21" s="13">
        <v>50000</v>
      </c>
    </row>
    <row r="22" spans="1:11" ht="18" customHeight="1" x14ac:dyDescent="0.35">
      <c r="A22" s="38" t="s">
        <v>233</v>
      </c>
      <c r="B22" s="28">
        <v>620000</v>
      </c>
      <c r="C22" s="28">
        <v>1595473338</v>
      </c>
      <c r="D22" s="28">
        <v>13566383</v>
      </c>
      <c r="E22" s="28">
        <f>C22-D22</f>
        <v>1581906955</v>
      </c>
      <c r="F22" s="28">
        <v>1500000000</v>
      </c>
      <c r="G22" s="57">
        <f t="shared" si="1"/>
        <v>4.1333333333333332E-4</v>
      </c>
      <c r="H22" s="28">
        <f t="shared" si="2"/>
        <v>653854.87473333336</v>
      </c>
      <c r="I22" s="17">
        <v>0</v>
      </c>
      <c r="J22" s="28">
        <f t="shared" si="3"/>
        <v>620000</v>
      </c>
      <c r="K22" s="28">
        <v>620000</v>
      </c>
    </row>
    <row r="23" spans="1:11" ht="18" customHeight="1" x14ac:dyDescent="0.35">
      <c r="A23" s="39" t="s">
        <v>9</v>
      </c>
      <c r="B23" s="13">
        <f>SUM(B16:B22)</f>
        <v>2878000</v>
      </c>
      <c r="C23" s="13">
        <f>SUM(C16:C22)</f>
        <v>24871516634770</v>
      </c>
      <c r="D23" s="13">
        <f>SUM(D16:D22)</f>
        <v>24521936242097</v>
      </c>
      <c r="E23" s="13">
        <f>SUM(E16:E22)</f>
        <v>349685443808</v>
      </c>
      <c r="F23" s="13">
        <f>SUM(F16:F22)</f>
        <v>22268798549</v>
      </c>
      <c r="G23" s="16"/>
      <c r="H23" s="13">
        <f>SUM(H16:H22)</f>
        <v>34607258.51200638</v>
      </c>
      <c r="I23" s="13">
        <f>SUM(I16:I22)</f>
        <v>0</v>
      </c>
      <c r="J23" s="28">
        <f>SUM(J16:J22)</f>
        <v>2878000</v>
      </c>
      <c r="K23" s="13">
        <f>SUM(K16:K22)</f>
        <v>2878000</v>
      </c>
    </row>
  </sheetData>
  <mergeCells count="2">
    <mergeCell ref="A8:C8"/>
    <mergeCell ref="A14:C14"/>
  </mergeCells>
  <phoneticPr fontId="1"/>
  <pageMargins left="0.39370078740157483" right="0.39370078740157483" top="0.59055118110236227" bottom="0.39370078740157483" header="0.19685039370078741" footer="0.19685039370078741"/>
  <pageSetup paperSize="9" scale="67" orientation="landscape" r:id="rId1"/>
  <headerFooter>
    <oddHeader>&amp;R&amp;9&amp;D</oddHeader>
    <oddFooter>&amp;C&amp;9&amp;P/&amp;N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workbookViewId="0">
      <selection activeCell="B9" sqref="B9"/>
    </sheetView>
  </sheetViews>
  <sheetFormatPr defaultColWidth="8.875" defaultRowHeight="15.75" x14ac:dyDescent="0.35"/>
  <cols>
    <col min="1" max="1" width="28.875" style="1" bestFit="1" customWidth="1"/>
    <col min="2" max="7" width="17.875" style="1" customWidth="1"/>
    <col min="8" max="16384" width="8.875" style="1"/>
  </cols>
  <sheetData>
    <row r="1" spans="1:7" ht="19.5" x14ac:dyDescent="0.4">
      <c r="A1" s="9" t="s">
        <v>203</v>
      </c>
      <c r="G1" s="8" t="s">
        <v>24</v>
      </c>
    </row>
    <row r="2" spans="1:7" ht="31.5" x14ac:dyDescent="0.35">
      <c r="A2" s="2" t="s">
        <v>25</v>
      </c>
      <c r="B2" s="2" t="s">
        <v>26</v>
      </c>
      <c r="C2" s="2" t="s">
        <v>27</v>
      </c>
      <c r="D2" s="2" t="s">
        <v>28</v>
      </c>
      <c r="E2" s="2" t="s">
        <v>29</v>
      </c>
      <c r="F2" s="3" t="s">
        <v>30</v>
      </c>
      <c r="G2" s="3" t="s">
        <v>8</v>
      </c>
    </row>
    <row r="3" spans="1:7" ht="18" customHeight="1" x14ac:dyDescent="0.35">
      <c r="A3" s="15" t="s">
        <v>143</v>
      </c>
      <c r="B3" s="29">
        <v>1092198930</v>
      </c>
      <c r="C3" s="29" t="s">
        <v>157</v>
      </c>
      <c r="D3" s="29" t="s">
        <v>241</v>
      </c>
      <c r="E3" s="29" t="s">
        <v>242</v>
      </c>
      <c r="F3" s="17">
        <f t="shared" ref="F3:F13" si="0">SUM(B3:E3)</f>
        <v>1092198930</v>
      </c>
      <c r="G3" s="29">
        <f>B3</f>
        <v>1092198930</v>
      </c>
    </row>
    <row r="4" spans="1:7" ht="18" customHeight="1" x14ac:dyDescent="0.35">
      <c r="A4" s="15" t="s">
        <v>144</v>
      </c>
      <c r="B4" s="29">
        <v>464817013</v>
      </c>
      <c r="C4" s="17" t="s">
        <v>241</v>
      </c>
      <c r="D4" s="17" t="s">
        <v>157</v>
      </c>
      <c r="E4" s="17" t="s">
        <v>157</v>
      </c>
      <c r="F4" s="17">
        <f t="shared" si="0"/>
        <v>464817013</v>
      </c>
      <c r="G4" s="29">
        <f t="shared" ref="G4:G10" si="1">B4</f>
        <v>464817013</v>
      </c>
    </row>
    <row r="5" spans="1:7" ht="18" customHeight="1" x14ac:dyDescent="0.35">
      <c r="A5" s="15" t="s">
        <v>147</v>
      </c>
      <c r="B5" s="29">
        <v>3072494</v>
      </c>
      <c r="C5" s="17" t="s">
        <v>157</v>
      </c>
      <c r="D5" s="17" t="s">
        <v>242</v>
      </c>
      <c r="E5" s="17" t="s">
        <v>242</v>
      </c>
      <c r="F5" s="17">
        <f t="shared" si="0"/>
        <v>3072494</v>
      </c>
      <c r="G5" s="29">
        <f t="shared" si="1"/>
        <v>3072494</v>
      </c>
    </row>
    <row r="6" spans="1:7" ht="18" customHeight="1" x14ac:dyDescent="0.35">
      <c r="A6" s="15" t="s">
        <v>145</v>
      </c>
      <c r="B6" s="29">
        <v>309440177</v>
      </c>
      <c r="C6" s="17" t="s">
        <v>243</v>
      </c>
      <c r="D6" s="17" t="s">
        <v>243</v>
      </c>
      <c r="E6" s="17" t="s">
        <v>242</v>
      </c>
      <c r="F6" s="17">
        <f t="shared" si="0"/>
        <v>309440177</v>
      </c>
      <c r="G6" s="29">
        <f t="shared" si="1"/>
        <v>309440177</v>
      </c>
    </row>
    <row r="7" spans="1:7" ht="18" customHeight="1" x14ac:dyDescent="0.35">
      <c r="A7" s="15" t="s">
        <v>146</v>
      </c>
      <c r="B7" s="29">
        <v>183879</v>
      </c>
      <c r="C7" s="17" t="s">
        <v>157</v>
      </c>
      <c r="D7" s="17" t="s">
        <v>242</v>
      </c>
      <c r="E7" s="17" t="s">
        <v>242</v>
      </c>
      <c r="F7" s="17">
        <f t="shared" si="0"/>
        <v>183879</v>
      </c>
      <c r="G7" s="29">
        <f t="shared" si="1"/>
        <v>183879</v>
      </c>
    </row>
    <row r="8" spans="1:7" ht="18" customHeight="1" x14ac:dyDescent="0.35">
      <c r="A8" s="15" t="s">
        <v>148</v>
      </c>
      <c r="B8" s="29">
        <v>101638333</v>
      </c>
      <c r="C8" s="17" t="s">
        <v>242</v>
      </c>
      <c r="D8" s="17">
        <v>173319288</v>
      </c>
      <c r="E8" s="17" t="s">
        <v>242</v>
      </c>
      <c r="F8" s="17">
        <f t="shared" si="0"/>
        <v>274957621</v>
      </c>
      <c r="G8" s="29">
        <f t="shared" si="1"/>
        <v>101638333</v>
      </c>
    </row>
    <row r="9" spans="1:7" ht="18" customHeight="1" x14ac:dyDescent="0.35">
      <c r="A9" s="20" t="s">
        <v>244</v>
      </c>
      <c r="B9" s="29">
        <v>5170000</v>
      </c>
      <c r="C9" s="17" t="s">
        <v>242</v>
      </c>
      <c r="D9" s="17" t="s">
        <v>242</v>
      </c>
      <c r="E9" s="17" t="s">
        <v>242</v>
      </c>
      <c r="F9" s="17">
        <f t="shared" si="0"/>
        <v>5170000</v>
      </c>
      <c r="G9" s="29">
        <f t="shared" si="1"/>
        <v>5170000</v>
      </c>
    </row>
    <row r="10" spans="1:7" ht="18" customHeight="1" x14ac:dyDescent="0.35">
      <c r="A10" s="31" t="s">
        <v>264</v>
      </c>
      <c r="B10" s="17">
        <v>200000000</v>
      </c>
      <c r="C10" s="17" t="s">
        <v>241</v>
      </c>
      <c r="D10" s="17" t="s">
        <v>265</v>
      </c>
      <c r="E10" s="34" t="s">
        <v>265</v>
      </c>
      <c r="F10" s="32">
        <f t="shared" si="0"/>
        <v>200000000</v>
      </c>
      <c r="G10" s="35">
        <f t="shared" si="1"/>
        <v>200000000</v>
      </c>
    </row>
    <row r="11" spans="1:7" ht="18" customHeight="1" x14ac:dyDescent="0.35">
      <c r="A11" s="27" t="s">
        <v>175</v>
      </c>
      <c r="B11" s="17">
        <v>91136131</v>
      </c>
      <c r="C11" s="17" t="s">
        <v>235</v>
      </c>
      <c r="D11" s="17" t="s">
        <v>235</v>
      </c>
      <c r="E11" s="17" t="s">
        <v>235</v>
      </c>
      <c r="F11" s="17">
        <f t="shared" si="0"/>
        <v>91136131</v>
      </c>
      <c r="G11" s="29">
        <v>91136131</v>
      </c>
    </row>
    <row r="12" spans="1:7" ht="18" customHeight="1" x14ac:dyDescent="0.35">
      <c r="A12" s="27" t="s">
        <v>176</v>
      </c>
      <c r="B12" s="17">
        <v>71071735</v>
      </c>
      <c r="C12" s="17" t="s">
        <v>178</v>
      </c>
      <c r="D12" s="17" t="s">
        <v>157</v>
      </c>
      <c r="E12" s="17" t="s">
        <v>157</v>
      </c>
      <c r="F12" s="17">
        <f t="shared" si="0"/>
        <v>71071735</v>
      </c>
      <c r="G12" s="29">
        <v>71071735</v>
      </c>
    </row>
    <row r="13" spans="1:7" ht="18" customHeight="1" x14ac:dyDescent="0.35">
      <c r="A13" s="27" t="s">
        <v>177</v>
      </c>
      <c r="B13" s="17">
        <v>73202535</v>
      </c>
      <c r="C13" s="17" t="s">
        <v>157</v>
      </c>
      <c r="D13" s="17" t="s">
        <v>157</v>
      </c>
      <c r="E13" s="17" t="s">
        <v>157</v>
      </c>
      <c r="F13" s="17">
        <f t="shared" si="0"/>
        <v>73202535</v>
      </c>
      <c r="G13" s="29">
        <v>73202535</v>
      </c>
    </row>
    <row r="14" spans="1:7" s="18" customFormat="1" ht="18" customHeight="1" x14ac:dyDescent="0.35">
      <c r="A14" s="26" t="s">
        <v>9</v>
      </c>
      <c r="B14" s="17">
        <f>SUM(B3:B13)</f>
        <v>2411931227</v>
      </c>
      <c r="C14" s="17" t="s">
        <v>142</v>
      </c>
      <c r="D14" s="17">
        <v>173319288</v>
      </c>
      <c r="E14" s="17" t="s">
        <v>142</v>
      </c>
      <c r="F14" s="17">
        <f>SUM(F3:F13)</f>
        <v>2585250515</v>
      </c>
      <c r="G14" s="17">
        <f>SUM(G3:G13)</f>
        <v>2411931227</v>
      </c>
    </row>
    <row r="15" spans="1:7" x14ac:dyDescent="0.35">
      <c r="A15" s="108" t="s">
        <v>149</v>
      </c>
      <c r="B15" s="108"/>
      <c r="C15" s="108"/>
      <c r="D15" s="108"/>
      <c r="E15" s="108"/>
    </row>
    <row r="20" spans="2:7" ht="18.75" x14ac:dyDescent="0.4">
      <c r="B20"/>
      <c r="C20"/>
      <c r="D20"/>
      <c r="E20"/>
      <c r="F20"/>
      <c r="G20"/>
    </row>
  </sheetData>
  <mergeCells count="1">
    <mergeCell ref="A15:E15"/>
  </mergeCells>
  <phoneticPr fontId="1"/>
  <pageMargins left="0.59055118110236227" right="0.39370078740157483" top="0.39370078740157483" bottom="0.39370078740157483" header="0.19685039370078741" footer="0.19685039370078741"/>
  <pageSetup paperSize="9" scale="92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workbookViewId="0">
      <selection activeCell="F2" sqref="F2:F3"/>
    </sheetView>
  </sheetViews>
  <sheetFormatPr defaultColWidth="8.875" defaultRowHeight="15.75" x14ac:dyDescent="0.35"/>
  <cols>
    <col min="1" max="1" width="30.875" style="1" customWidth="1"/>
    <col min="2" max="6" width="19.875" style="1" customWidth="1"/>
    <col min="7" max="16384" width="8.875" style="1"/>
  </cols>
  <sheetData>
    <row r="1" spans="1:6" ht="19.5" x14ac:dyDescent="0.4">
      <c r="A1" s="9" t="s">
        <v>204</v>
      </c>
      <c r="F1" s="8" t="s">
        <v>141</v>
      </c>
    </row>
    <row r="2" spans="1:6" ht="22.5" customHeight="1" x14ac:dyDescent="0.35">
      <c r="A2" s="109" t="s">
        <v>31</v>
      </c>
      <c r="B2" s="109" t="s">
        <v>32</v>
      </c>
      <c r="C2" s="109"/>
      <c r="D2" s="109" t="s">
        <v>33</v>
      </c>
      <c r="E2" s="109"/>
      <c r="F2" s="110" t="s">
        <v>34</v>
      </c>
    </row>
    <row r="3" spans="1:6" ht="31.5" x14ac:dyDescent="0.35">
      <c r="A3" s="109"/>
      <c r="B3" s="2" t="s">
        <v>35</v>
      </c>
      <c r="C3" s="3" t="s">
        <v>36</v>
      </c>
      <c r="D3" s="2" t="s">
        <v>35</v>
      </c>
      <c r="E3" s="3" t="s">
        <v>36</v>
      </c>
      <c r="F3" s="109"/>
    </row>
    <row r="4" spans="1:6" ht="18" customHeight="1" x14ac:dyDescent="0.35">
      <c r="A4" s="7"/>
      <c r="B4" s="6">
        <v>0</v>
      </c>
      <c r="C4" s="6">
        <v>0</v>
      </c>
      <c r="D4" s="6">
        <v>0</v>
      </c>
      <c r="E4" s="6">
        <v>0</v>
      </c>
      <c r="F4" s="6">
        <f>+B4+D4</f>
        <v>0</v>
      </c>
    </row>
    <row r="5" spans="1:6" ht="18" customHeight="1" x14ac:dyDescent="0.35">
      <c r="A5" s="7"/>
      <c r="B5" s="6">
        <v>0</v>
      </c>
      <c r="C5" s="6">
        <v>0</v>
      </c>
      <c r="D5" s="6">
        <v>0</v>
      </c>
      <c r="E5" s="6">
        <v>0</v>
      </c>
      <c r="F5" s="6">
        <f>+B5+D5</f>
        <v>0</v>
      </c>
    </row>
    <row r="6" spans="1:6" ht="18" customHeight="1" x14ac:dyDescent="0.35">
      <c r="A6" s="7"/>
      <c r="B6" s="6">
        <v>0</v>
      </c>
      <c r="C6" s="6">
        <v>0</v>
      </c>
      <c r="D6" s="6">
        <v>0</v>
      </c>
      <c r="E6" s="6">
        <v>0</v>
      </c>
      <c r="F6" s="6">
        <f>+B6+D6</f>
        <v>0</v>
      </c>
    </row>
    <row r="7" spans="1:6" ht="18" customHeight="1" x14ac:dyDescent="0.35">
      <c r="A7" s="7"/>
      <c r="B7" s="6">
        <v>0</v>
      </c>
      <c r="C7" s="6">
        <v>0</v>
      </c>
      <c r="D7" s="6">
        <v>0</v>
      </c>
      <c r="E7" s="6">
        <v>0</v>
      </c>
      <c r="F7" s="6">
        <f>+B7+D7</f>
        <v>0</v>
      </c>
    </row>
    <row r="8" spans="1:6" ht="18" customHeight="1" x14ac:dyDescent="0.35">
      <c r="A8" s="4" t="s">
        <v>9</v>
      </c>
      <c r="B8" s="6">
        <f>SUM(B4:B7)</f>
        <v>0</v>
      </c>
      <c r="C8" s="6">
        <f>SUM(C4:C7)</f>
        <v>0</v>
      </c>
      <c r="D8" s="6">
        <f>SUM(D4:D7)</f>
        <v>0</v>
      </c>
      <c r="E8" s="6">
        <f>SUM(E4:E7)</f>
        <v>0</v>
      </c>
      <c r="F8" s="6">
        <f>SUM(F4:F7)</f>
        <v>0</v>
      </c>
    </row>
  </sheetData>
  <mergeCells count="4">
    <mergeCell ref="A2:A3"/>
    <mergeCell ref="B2:C2"/>
    <mergeCell ref="D2:E2"/>
    <mergeCell ref="F2:F3"/>
  </mergeCells>
  <phoneticPr fontId="1"/>
  <pageMargins left="0.59055118110236227" right="0.39370078740157483" top="0.39370078740157483" bottom="0.39370078740157483" header="0.19685039370078741" footer="0.19685039370078741"/>
  <pageSetup paperSize="9" scale="96" orientation="landscape" r:id="rId1"/>
  <headerFooter>
    <oddHeader>&amp;R&amp;9&amp;D</oddHeader>
    <oddFooter>&amp;C&amp;9&amp;P/&amp;N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Normal="100" workbookViewId="0">
      <selection activeCell="B25" sqref="B25"/>
    </sheetView>
  </sheetViews>
  <sheetFormatPr defaultColWidth="8.875" defaultRowHeight="15.75" x14ac:dyDescent="0.35"/>
  <cols>
    <col min="1" max="1" width="17.375" style="18" bestFit="1" customWidth="1"/>
    <col min="2" max="2" width="13.875" style="18" bestFit="1" customWidth="1"/>
    <col min="3" max="3" width="17.25" style="18" bestFit="1" customWidth="1"/>
    <col min="4" max="4" width="8.875" style="18"/>
    <col min="5" max="5" width="21" style="18" bestFit="1" customWidth="1"/>
    <col min="6" max="6" width="13.875" style="18" bestFit="1" customWidth="1"/>
    <col min="7" max="7" width="17.25" style="18" bestFit="1" customWidth="1"/>
    <col min="8" max="8" width="8.875" style="18"/>
    <col min="9" max="9" width="12.25" style="18" bestFit="1" customWidth="1"/>
    <col min="10" max="10" width="18" style="58" customWidth="1"/>
    <col min="11" max="16384" width="8.875" style="18"/>
  </cols>
  <sheetData>
    <row r="1" spans="1:7" ht="19.5" x14ac:dyDescent="0.4">
      <c r="A1" s="104" t="s">
        <v>205</v>
      </c>
      <c r="B1" s="104"/>
      <c r="C1" s="50" t="s">
        <v>24</v>
      </c>
      <c r="E1" s="51" t="s">
        <v>206</v>
      </c>
      <c r="G1" s="50" t="s">
        <v>24</v>
      </c>
    </row>
    <row r="2" spans="1:7" ht="22.5" customHeight="1" x14ac:dyDescent="0.35">
      <c r="A2" s="53" t="s">
        <v>31</v>
      </c>
      <c r="B2" s="53" t="s">
        <v>35</v>
      </c>
      <c r="C2" s="53" t="s">
        <v>37</v>
      </c>
      <c r="E2" s="53" t="s">
        <v>31</v>
      </c>
      <c r="F2" s="53" t="s">
        <v>35</v>
      </c>
      <c r="G2" s="53" t="s">
        <v>37</v>
      </c>
    </row>
    <row r="3" spans="1:7" ht="18" customHeight="1" x14ac:dyDescent="0.35">
      <c r="A3" s="59" t="s">
        <v>152</v>
      </c>
      <c r="B3" s="16"/>
      <c r="C3" s="16"/>
      <c r="E3" s="59" t="s">
        <v>152</v>
      </c>
      <c r="F3" s="16"/>
      <c r="G3" s="16"/>
    </row>
    <row r="4" spans="1:7" ht="18" customHeight="1" x14ac:dyDescent="0.35">
      <c r="A4" s="60" t="s">
        <v>150</v>
      </c>
      <c r="B4" s="13">
        <v>27921988</v>
      </c>
      <c r="C4" s="17">
        <v>3362760</v>
      </c>
      <c r="E4" s="60" t="s">
        <v>150</v>
      </c>
      <c r="F4" s="13">
        <v>25837165</v>
      </c>
      <c r="G4" s="17">
        <v>3111985.809059449</v>
      </c>
    </row>
    <row r="5" spans="1:7" ht="18" customHeight="1" x14ac:dyDescent="0.35">
      <c r="A5" s="60" t="s">
        <v>151</v>
      </c>
      <c r="B5" s="17">
        <v>566431</v>
      </c>
      <c r="C5" s="17">
        <v>68224.405959839365</v>
      </c>
      <c r="E5" s="60" t="s">
        <v>151</v>
      </c>
      <c r="F5" s="17">
        <v>882100</v>
      </c>
      <c r="G5" s="17">
        <v>106245.50650860263</v>
      </c>
    </row>
    <row r="6" spans="1:7" ht="18" customHeight="1" x14ac:dyDescent="0.35">
      <c r="A6" s="60" t="s">
        <v>39</v>
      </c>
      <c r="B6" s="17">
        <v>9712788</v>
      </c>
      <c r="C6" s="17">
        <v>1169867.4534300845</v>
      </c>
      <c r="E6" s="60" t="s">
        <v>39</v>
      </c>
      <c r="F6" s="17">
        <v>14300836</v>
      </c>
      <c r="G6" s="17">
        <v>1722479.9504777903</v>
      </c>
    </row>
    <row r="7" spans="1:7" ht="18" customHeight="1" x14ac:dyDescent="0.35">
      <c r="A7" s="60" t="s">
        <v>40</v>
      </c>
      <c r="B7" s="17">
        <v>1280602</v>
      </c>
      <c r="C7" s="17">
        <v>154243.51901817202</v>
      </c>
      <c r="E7" s="60" t="s">
        <v>40</v>
      </c>
      <c r="F7" s="17">
        <v>515900</v>
      </c>
      <c r="G7" s="17">
        <v>62138.143983435097</v>
      </c>
    </row>
    <row r="8" spans="1:7" ht="18" customHeight="1" x14ac:dyDescent="0.35">
      <c r="A8" s="60" t="s">
        <v>234</v>
      </c>
      <c r="B8" s="17">
        <v>0</v>
      </c>
      <c r="C8" s="17">
        <v>0</v>
      </c>
      <c r="E8" s="60" t="s">
        <v>234</v>
      </c>
      <c r="F8" s="17">
        <v>0</v>
      </c>
      <c r="G8" s="17">
        <v>0</v>
      </c>
    </row>
    <row r="9" spans="1:7" ht="18" customHeight="1" x14ac:dyDescent="0.35">
      <c r="A9" s="60" t="s">
        <v>133</v>
      </c>
      <c r="B9" s="17">
        <v>1607734</v>
      </c>
      <c r="C9" s="17">
        <v>193645.29323330885</v>
      </c>
      <c r="E9" s="60" t="s">
        <v>133</v>
      </c>
      <c r="F9" s="17">
        <v>2334381</v>
      </c>
      <c r="G9" s="17">
        <v>281167.09185926575</v>
      </c>
    </row>
    <row r="10" spans="1:7" ht="18" customHeight="1" x14ac:dyDescent="0.35">
      <c r="A10" s="27" t="s">
        <v>153</v>
      </c>
      <c r="B10" s="21"/>
      <c r="C10" s="21"/>
      <c r="E10" s="27" t="s">
        <v>153</v>
      </c>
      <c r="F10" s="21"/>
      <c r="G10" s="21"/>
    </row>
    <row r="11" spans="1:7" ht="18" customHeight="1" x14ac:dyDescent="0.35">
      <c r="A11" s="60" t="s">
        <v>134</v>
      </c>
      <c r="B11" s="17">
        <v>3360</v>
      </c>
      <c r="C11" s="17">
        <v>38.214952149573698</v>
      </c>
      <c r="E11" s="60" t="s">
        <v>134</v>
      </c>
      <c r="F11" s="17">
        <v>0</v>
      </c>
      <c r="G11" s="17">
        <v>0</v>
      </c>
    </row>
    <row r="12" spans="1:7" ht="18" customHeight="1" x14ac:dyDescent="0.35">
      <c r="A12" s="60" t="s">
        <v>135</v>
      </c>
      <c r="B12" s="17">
        <v>1278630</v>
      </c>
      <c r="C12" s="17">
        <v>130543.83922737025</v>
      </c>
      <c r="E12" s="60" t="s">
        <v>135</v>
      </c>
      <c r="F12" s="17">
        <v>908750</v>
      </c>
      <c r="G12" s="17">
        <v>92780.33043012656</v>
      </c>
    </row>
    <row r="13" spans="1:7" ht="18" customHeight="1" x14ac:dyDescent="0.35">
      <c r="A13" s="60" t="s">
        <v>136</v>
      </c>
      <c r="B13" s="17" t="s">
        <v>235</v>
      </c>
      <c r="C13" s="17" t="s">
        <v>235</v>
      </c>
      <c r="E13" s="60" t="s">
        <v>136</v>
      </c>
      <c r="F13" s="17" t="s">
        <v>235</v>
      </c>
      <c r="G13" s="17" t="s">
        <v>235</v>
      </c>
    </row>
    <row r="14" spans="1:7" ht="18" customHeight="1" x14ac:dyDescent="0.35">
      <c r="A14" s="60" t="s">
        <v>137</v>
      </c>
      <c r="B14" s="17">
        <v>102374</v>
      </c>
      <c r="C14" s="17">
        <v>17895.875022708024</v>
      </c>
      <c r="E14" s="60" t="s">
        <v>137</v>
      </c>
      <c r="F14" s="61">
        <v>470043</v>
      </c>
      <c r="G14" s="61">
        <v>82167.647872494461</v>
      </c>
    </row>
    <row r="15" spans="1:7" ht="18" customHeight="1" x14ac:dyDescent="0.35">
      <c r="A15" s="27" t="s">
        <v>179</v>
      </c>
      <c r="B15" s="32">
        <v>63832713</v>
      </c>
      <c r="C15" s="17">
        <v>6145904.2677897373</v>
      </c>
      <c r="E15" s="27" t="s">
        <v>179</v>
      </c>
      <c r="F15" s="32">
        <v>28723527</v>
      </c>
      <c r="G15" s="17">
        <v>2765541.974931784</v>
      </c>
    </row>
    <row r="16" spans="1:7" ht="18" customHeight="1" x14ac:dyDescent="0.35">
      <c r="A16" s="27" t="s">
        <v>153</v>
      </c>
      <c r="B16" s="62"/>
      <c r="C16" s="21"/>
      <c r="E16" s="27" t="s">
        <v>153</v>
      </c>
      <c r="F16" s="62"/>
      <c r="G16" s="21"/>
    </row>
    <row r="17" spans="1:7" ht="18" customHeight="1" x14ac:dyDescent="0.35">
      <c r="A17" s="60" t="s">
        <v>137</v>
      </c>
      <c r="B17" s="32">
        <v>26219</v>
      </c>
      <c r="C17" s="17">
        <v>0</v>
      </c>
      <c r="E17" s="60" t="s">
        <v>137</v>
      </c>
      <c r="F17" s="32">
        <v>0</v>
      </c>
      <c r="G17" s="17">
        <v>0</v>
      </c>
    </row>
    <row r="18" spans="1:7" ht="18" customHeight="1" x14ac:dyDescent="0.35">
      <c r="A18" s="27" t="s">
        <v>180</v>
      </c>
      <c r="B18" s="32">
        <v>793500</v>
      </c>
      <c r="C18" s="17">
        <v>24588.595027454343</v>
      </c>
      <c r="E18" s="27" t="s">
        <v>180</v>
      </c>
      <c r="F18" s="32">
        <v>1765300</v>
      </c>
      <c r="G18" s="17">
        <v>54702.264400712229</v>
      </c>
    </row>
    <row r="19" spans="1:7" ht="18" customHeight="1" x14ac:dyDescent="0.35">
      <c r="A19" s="63" t="s">
        <v>181</v>
      </c>
      <c r="B19" s="64">
        <v>2524604</v>
      </c>
      <c r="C19" s="61">
        <v>818720</v>
      </c>
      <c r="E19" s="27" t="s">
        <v>181</v>
      </c>
      <c r="F19" s="64">
        <v>2379840</v>
      </c>
      <c r="G19" s="17">
        <v>925309.0555655749</v>
      </c>
    </row>
    <row r="20" spans="1:7" ht="18" customHeight="1" thickBot="1" x14ac:dyDescent="0.4">
      <c r="A20" s="65" t="s">
        <v>255</v>
      </c>
      <c r="B20" s="32" t="s">
        <v>235</v>
      </c>
      <c r="C20" s="32" t="s">
        <v>235</v>
      </c>
      <c r="D20" s="24"/>
      <c r="E20" s="25" t="s">
        <v>255</v>
      </c>
      <c r="F20" s="66">
        <v>35068903</v>
      </c>
      <c r="G20" s="67">
        <v>527000</v>
      </c>
    </row>
    <row r="21" spans="1:7" ht="18" customHeight="1" thickTop="1" x14ac:dyDescent="0.35">
      <c r="A21" s="68" t="s">
        <v>9</v>
      </c>
      <c r="B21" s="69">
        <f>SUM(B4:B19)</f>
        <v>109650943</v>
      </c>
      <c r="C21" s="69">
        <f>SUM(C4:C20)</f>
        <v>12086431.463660825</v>
      </c>
      <c r="E21" s="70" t="s">
        <v>9</v>
      </c>
      <c r="F21" s="71">
        <f>SUM(F4:F20)</f>
        <v>113186745</v>
      </c>
      <c r="G21" s="71">
        <f>SUM(G4:G20)</f>
        <v>9731517.775089236</v>
      </c>
    </row>
  </sheetData>
  <mergeCells count="1">
    <mergeCell ref="A1:B1"/>
  </mergeCells>
  <phoneticPr fontId="1"/>
  <pageMargins left="0.59055118110236227" right="0.39370078740157483" top="0.39370078740157483" bottom="0.39370078740157483" header="0.19685039370078741" footer="0.19685039370078741"/>
  <pageSetup paperSize="9" scale="86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selection activeCell="B24" sqref="B24"/>
    </sheetView>
  </sheetViews>
  <sheetFormatPr defaultColWidth="8.875" defaultRowHeight="15.75" x14ac:dyDescent="0.35"/>
  <cols>
    <col min="1" max="1" width="20.875" style="18" customWidth="1"/>
    <col min="2" max="2" width="14.875" style="18" customWidth="1"/>
    <col min="3" max="3" width="16.875" style="18" customWidth="1"/>
    <col min="4" max="11" width="14.875" style="18" customWidth="1"/>
    <col min="12" max="16384" width="8.875" style="18"/>
  </cols>
  <sheetData>
    <row r="1" spans="1:11" ht="19.5" x14ac:dyDescent="0.4">
      <c r="A1" s="104" t="s">
        <v>208</v>
      </c>
      <c r="B1" s="104"/>
    </row>
    <row r="2" spans="1:11" ht="19.5" x14ac:dyDescent="0.4">
      <c r="A2" s="51" t="s">
        <v>207</v>
      </c>
      <c r="K2" s="55" t="s">
        <v>24</v>
      </c>
    </row>
    <row r="3" spans="1:11" ht="22.5" customHeight="1" x14ac:dyDescent="0.35">
      <c r="A3" s="113" t="s">
        <v>25</v>
      </c>
      <c r="B3" s="111" t="s">
        <v>41</v>
      </c>
      <c r="C3" s="73"/>
      <c r="D3" s="115" t="s">
        <v>42</v>
      </c>
      <c r="E3" s="117" t="s">
        <v>43</v>
      </c>
      <c r="F3" s="113" t="s">
        <v>44</v>
      </c>
      <c r="G3" s="117" t="s">
        <v>45</v>
      </c>
      <c r="H3" s="111" t="s">
        <v>46</v>
      </c>
      <c r="I3" s="74"/>
      <c r="J3" s="75"/>
      <c r="K3" s="113" t="s">
        <v>29</v>
      </c>
    </row>
    <row r="4" spans="1:11" ht="22.5" customHeight="1" x14ac:dyDescent="0.35">
      <c r="A4" s="114"/>
      <c r="B4" s="112"/>
      <c r="C4" s="76" t="s">
        <v>47</v>
      </c>
      <c r="D4" s="116"/>
      <c r="E4" s="118"/>
      <c r="F4" s="114"/>
      <c r="G4" s="118"/>
      <c r="H4" s="112"/>
      <c r="I4" s="53" t="s">
        <v>48</v>
      </c>
      <c r="J4" s="53" t="s">
        <v>49</v>
      </c>
      <c r="K4" s="114"/>
    </row>
    <row r="5" spans="1:11" ht="18" customHeight="1" x14ac:dyDescent="0.35">
      <c r="A5" s="23" t="s">
        <v>50</v>
      </c>
      <c r="B5" s="21"/>
      <c r="C5" s="22"/>
      <c r="D5" s="21"/>
      <c r="E5" s="21"/>
      <c r="F5" s="21"/>
      <c r="G5" s="21"/>
      <c r="H5" s="21"/>
      <c r="I5" s="21"/>
      <c r="J5" s="21"/>
      <c r="K5" s="21"/>
    </row>
    <row r="6" spans="1:11" ht="18" customHeight="1" x14ac:dyDescent="0.35">
      <c r="A6" s="23" t="s">
        <v>51</v>
      </c>
      <c r="B6" s="17">
        <f>SUM(D6:K6)</f>
        <v>1019968872</v>
      </c>
      <c r="C6" s="77">
        <v>38016503</v>
      </c>
      <c r="D6" s="35">
        <v>442500000</v>
      </c>
      <c r="E6" s="35">
        <v>80800000</v>
      </c>
      <c r="F6" s="17" t="s">
        <v>142</v>
      </c>
      <c r="G6" s="17">
        <v>298592872</v>
      </c>
      <c r="H6" s="17" t="s">
        <v>142</v>
      </c>
      <c r="I6" s="17" t="s">
        <v>271</v>
      </c>
      <c r="J6" s="17" t="s">
        <v>271</v>
      </c>
      <c r="K6" s="17">
        <v>198076000</v>
      </c>
    </row>
    <row r="7" spans="1:11" ht="18" customHeight="1" x14ac:dyDescent="0.35">
      <c r="A7" s="23" t="s">
        <v>52</v>
      </c>
      <c r="B7" s="34" t="s">
        <v>270</v>
      </c>
      <c r="C7" s="34" t="s">
        <v>271</v>
      </c>
      <c r="D7" s="78" t="s">
        <v>270</v>
      </c>
      <c r="E7" s="35" t="s">
        <v>270</v>
      </c>
      <c r="F7" s="17" t="s">
        <v>270</v>
      </c>
      <c r="G7" s="17" t="s">
        <v>271</v>
      </c>
      <c r="H7" s="17" t="s">
        <v>271</v>
      </c>
      <c r="I7" s="17" t="s">
        <v>270</v>
      </c>
      <c r="J7" s="17" t="s">
        <v>270</v>
      </c>
      <c r="K7" s="17" t="s">
        <v>270</v>
      </c>
    </row>
    <row r="8" spans="1:11" ht="18" customHeight="1" x14ac:dyDescent="0.35">
      <c r="A8" s="23" t="s">
        <v>53</v>
      </c>
      <c r="B8" s="34" t="s">
        <v>271</v>
      </c>
      <c r="C8" s="77" t="s">
        <v>270</v>
      </c>
      <c r="D8" s="35" t="s">
        <v>271</v>
      </c>
      <c r="E8" s="35" t="s">
        <v>270</v>
      </c>
      <c r="F8" s="17" t="s">
        <v>270</v>
      </c>
      <c r="G8" s="17" t="s">
        <v>271</v>
      </c>
      <c r="H8" s="17" t="s">
        <v>271</v>
      </c>
      <c r="I8" s="17" t="s">
        <v>270</v>
      </c>
      <c r="J8" s="17" t="s">
        <v>270</v>
      </c>
      <c r="K8" s="17" t="s">
        <v>270</v>
      </c>
    </row>
    <row r="9" spans="1:11" ht="18" customHeight="1" x14ac:dyDescent="0.35">
      <c r="A9" s="23" t="s">
        <v>54</v>
      </c>
      <c r="B9" s="17">
        <f t="shared" ref="B9:B10" si="0">SUM(D9:K9)</f>
        <v>1925328915</v>
      </c>
      <c r="C9" s="37">
        <v>142017770</v>
      </c>
      <c r="D9" s="79">
        <v>852330045</v>
      </c>
      <c r="E9" s="79">
        <v>267377742</v>
      </c>
      <c r="F9" s="32">
        <v>183300000</v>
      </c>
      <c r="G9" s="32">
        <v>292151128</v>
      </c>
      <c r="H9" s="32" t="s">
        <v>271</v>
      </c>
      <c r="I9" s="32" t="s">
        <v>271</v>
      </c>
      <c r="J9" s="32" t="s">
        <v>271</v>
      </c>
      <c r="K9" s="32">
        <v>330170000</v>
      </c>
    </row>
    <row r="10" spans="1:11" ht="18" customHeight="1" x14ac:dyDescent="0.35">
      <c r="A10" s="23" t="s">
        <v>55</v>
      </c>
      <c r="B10" s="17">
        <f t="shared" si="0"/>
        <v>671822351</v>
      </c>
      <c r="C10" s="37">
        <v>41717484</v>
      </c>
      <c r="D10" s="79" t="s">
        <v>271</v>
      </c>
      <c r="E10" s="79">
        <v>138262351</v>
      </c>
      <c r="F10" s="32">
        <v>14900000</v>
      </c>
      <c r="G10" s="32">
        <v>262450000</v>
      </c>
      <c r="H10" s="32" t="s">
        <v>270</v>
      </c>
      <c r="I10" s="32" t="s">
        <v>270</v>
      </c>
      <c r="J10" s="32" t="s">
        <v>270</v>
      </c>
      <c r="K10" s="32">
        <v>256210000</v>
      </c>
    </row>
    <row r="11" spans="1:11" ht="18" customHeight="1" x14ac:dyDescent="0.35">
      <c r="A11" s="23" t="s">
        <v>56</v>
      </c>
      <c r="B11" s="17">
        <f>SUM(D11:K11)</f>
        <v>3764944475</v>
      </c>
      <c r="C11" s="37">
        <f>39267792+343030012</f>
        <v>382297804</v>
      </c>
      <c r="D11" s="79">
        <f>8842153+2618162695+1</f>
        <v>2627004849</v>
      </c>
      <c r="E11" s="79">
        <f>26598358+947612842</f>
        <v>974211200</v>
      </c>
      <c r="F11" s="32">
        <v>3432000</v>
      </c>
      <c r="G11" s="32">
        <v>43044426</v>
      </c>
      <c r="H11" s="32" t="s">
        <v>270</v>
      </c>
      <c r="I11" s="32" t="s">
        <v>270</v>
      </c>
      <c r="J11" s="32" t="s">
        <v>270</v>
      </c>
      <c r="K11" s="32">
        <v>117252000</v>
      </c>
    </row>
    <row r="12" spans="1:11" ht="18" customHeight="1" x14ac:dyDescent="0.35">
      <c r="A12" s="23" t="s">
        <v>57</v>
      </c>
      <c r="B12" s="17">
        <f t="shared" ref="B12" si="1">SUM(D12:K12)-C12</f>
        <v>0</v>
      </c>
      <c r="C12" s="33"/>
      <c r="D12" s="80"/>
      <c r="E12" s="80"/>
      <c r="F12" s="62"/>
      <c r="G12" s="62"/>
      <c r="H12" s="62"/>
      <c r="I12" s="62"/>
      <c r="J12" s="62"/>
      <c r="K12" s="62"/>
    </row>
    <row r="13" spans="1:11" ht="18" customHeight="1" x14ac:dyDescent="0.35">
      <c r="A13" s="23" t="s">
        <v>58</v>
      </c>
      <c r="B13" s="17">
        <f t="shared" ref="B13:B14" si="2">SUM(D13:K13)</f>
        <v>6032767465</v>
      </c>
      <c r="C13" s="37">
        <v>515207633</v>
      </c>
      <c r="D13" s="79">
        <v>5144324157</v>
      </c>
      <c r="E13" s="79">
        <v>843437568</v>
      </c>
      <c r="F13" s="32" t="s">
        <v>270</v>
      </c>
      <c r="G13" s="32">
        <v>45005740</v>
      </c>
      <c r="H13" s="32" t="s">
        <v>270</v>
      </c>
      <c r="I13" s="32" t="s">
        <v>270</v>
      </c>
      <c r="J13" s="32" t="s">
        <v>270</v>
      </c>
      <c r="K13" s="32" t="s">
        <v>270</v>
      </c>
    </row>
    <row r="14" spans="1:11" ht="18" customHeight="1" x14ac:dyDescent="0.35">
      <c r="A14" s="23" t="s">
        <v>59</v>
      </c>
      <c r="B14" s="17">
        <f t="shared" si="2"/>
        <v>105185867</v>
      </c>
      <c r="C14" s="37">
        <v>30772286</v>
      </c>
      <c r="D14" s="79">
        <v>105185867</v>
      </c>
      <c r="E14" s="79" t="s">
        <v>271</v>
      </c>
      <c r="F14" s="32" t="s">
        <v>270</v>
      </c>
      <c r="G14" s="32" t="s">
        <v>270</v>
      </c>
      <c r="H14" s="32" t="s">
        <v>270</v>
      </c>
      <c r="I14" s="32" t="s">
        <v>270</v>
      </c>
      <c r="J14" s="32" t="s">
        <v>270</v>
      </c>
      <c r="K14" s="32" t="s">
        <v>270</v>
      </c>
    </row>
    <row r="15" spans="1:11" ht="18" customHeight="1" x14ac:dyDescent="0.35">
      <c r="A15" s="23" t="s">
        <v>60</v>
      </c>
      <c r="B15" s="34" t="s">
        <v>270</v>
      </c>
      <c r="C15" s="77" t="s">
        <v>270</v>
      </c>
      <c r="D15" s="35" t="s">
        <v>270</v>
      </c>
      <c r="E15" s="35" t="s">
        <v>270</v>
      </c>
      <c r="F15" s="17" t="s">
        <v>270</v>
      </c>
      <c r="G15" s="17" t="s">
        <v>270</v>
      </c>
      <c r="H15" s="17" t="s">
        <v>270</v>
      </c>
      <c r="I15" s="17" t="s">
        <v>271</v>
      </c>
      <c r="J15" s="17" t="s">
        <v>270</v>
      </c>
      <c r="K15" s="17" t="s">
        <v>271</v>
      </c>
    </row>
    <row r="16" spans="1:11" ht="18" customHeight="1" x14ac:dyDescent="0.35">
      <c r="A16" s="23" t="s">
        <v>56</v>
      </c>
      <c r="B16" s="17">
        <f>SUM(D16:K16)</f>
        <v>74042308</v>
      </c>
      <c r="C16" s="77">
        <v>11024813</v>
      </c>
      <c r="D16" s="35">
        <v>40400000</v>
      </c>
      <c r="E16" s="35" t="s">
        <v>270</v>
      </c>
      <c r="F16" s="17" t="s">
        <v>270</v>
      </c>
      <c r="G16" s="17">
        <v>33642308</v>
      </c>
      <c r="H16" s="17" t="s">
        <v>270</v>
      </c>
      <c r="I16" s="17" t="s">
        <v>270</v>
      </c>
      <c r="J16" s="17" t="s">
        <v>270</v>
      </c>
      <c r="K16" s="17" t="s">
        <v>270</v>
      </c>
    </row>
    <row r="17" spans="1:11" ht="18" customHeight="1" x14ac:dyDescent="0.35">
      <c r="A17" s="81" t="s">
        <v>61</v>
      </c>
      <c r="B17" s="17">
        <f>SUM(D17:K17)</f>
        <v>13594060253</v>
      </c>
      <c r="C17" s="37">
        <f t="shared" ref="C17:G17" si="3">SUM(C5:C16)</f>
        <v>1161054293</v>
      </c>
      <c r="D17" s="35">
        <f t="shared" si="3"/>
        <v>9211744918</v>
      </c>
      <c r="E17" s="35">
        <f t="shared" si="3"/>
        <v>2304088861</v>
      </c>
      <c r="F17" s="35">
        <f t="shared" si="3"/>
        <v>201632000</v>
      </c>
      <c r="G17" s="17">
        <f t="shared" si="3"/>
        <v>974886474</v>
      </c>
      <c r="H17" s="17" t="s">
        <v>270</v>
      </c>
      <c r="I17" s="17" t="s">
        <v>270</v>
      </c>
      <c r="J17" s="17" t="s">
        <v>270</v>
      </c>
      <c r="K17" s="17">
        <f>SUM(K5:K16)</f>
        <v>901708000</v>
      </c>
    </row>
    <row r="18" spans="1:11" x14ac:dyDescent="0.35">
      <c r="B18" s="72"/>
    </row>
  </sheetData>
  <mergeCells count="9">
    <mergeCell ref="A1:B1"/>
    <mergeCell ref="H3:H4"/>
    <mergeCell ref="K3:K4"/>
    <mergeCell ref="A3:A4"/>
    <mergeCell ref="B3:B4"/>
    <mergeCell ref="D3:D4"/>
    <mergeCell ref="E3:E4"/>
    <mergeCell ref="F3:F4"/>
    <mergeCell ref="G3:G4"/>
  </mergeCells>
  <phoneticPr fontId="1"/>
  <pageMargins left="0.39370078740157483" right="0.39370078740157483" top="0.59055118110236227" bottom="0.39370078740157483" header="0.19685039370078741" footer="0.19685039370078741"/>
  <pageSetup paperSize="9" scale="74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zoomScale="85" zoomScaleNormal="85" workbookViewId="0">
      <selection activeCell="F26" sqref="F26"/>
    </sheetView>
  </sheetViews>
  <sheetFormatPr defaultColWidth="8.875" defaultRowHeight="15.75" x14ac:dyDescent="0.35"/>
  <cols>
    <col min="1" max="1" width="13" style="18" customWidth="1"/>
    <col min="2" max="10" width="12.875" style="18" customWidth="1"/>
    <col min="11" max="16384" width="8.875" style="18"/>
  </cols>
  <sheetData>
    <row r="1" spans="1:10" ht="19.5" x14ac:dyDescent="0.4">
      <c r="A1" s="121" t="s">
        <v>216</v>
      </c>
      <c r="B1" s="121"/>
      <c r="C1" s="121"/>
      <c r="I1" s="50" t="s">
        <v>24</v>
      </c>
    </row>
    <row r="2" spans="1:10" ht="47.25" x14ac:dyDescent="0.35">
      <c r="A2" s="76" t="s">
        <v>41</v>
      </c>
      <c r="B2" s="53" t="s">
        <v>62</v>
      </c>
      <c r="C2" s="54" t="s">
        <v>63</v>
      </c>
      <c r="D2" s="54" t="s">
        <v>64</v>
      </c>
      <c r="E2" s="54" t="s">
        <v>65</v>
      </c>
      <c r="F2" s="54" t="s">
        <v>66</v>
      </c>
      <c r="G2" s="54" t="s">
        <v>67</v>
      </c>
      <c r="H2" s="53" t="s">
        <v>68</v>
      </c>
      <c r="I2" s="54" t="s">
        <v>69</v>
      </c>
    </row>
    <row r="3" spans="1:10" ht="18" customHeight="1" x14ac:dyDescent="0.35">
      <c r="A3" s="82">
        <f>9981808289+3612251963+1</f>
        <v>13594060253</v>
      </c>
      <c r="B3" s="17">
        <f>9403830265+755332556</f>
        <v>10159162821</v>
      </c>
      <c r="C3" s="32">
        <f>577978024+1200529039+1</f>
        <v>1778507064</v>
      </c>
      <c r="D3" s="17">
        <v>1169727202</v>
      </c>
      <c r="E3" s="17">
        <v>128532095</v>
      </c>
      <c r="F3" s="17">
        <v>125517170</v>
      </c>
      <c r="G3" s="17">
        <v>31025983</v>
      </c>
      <c r="H3" s="17">
        <v>171587918</v>
      </c>
      <c r="I3" s="83">
        <v>1.1299999999999999E-2</v>
      </c>
    </row>
    <row r="6" spans="1:10" ht="19.5" x14ac:dyDescent="0.4">
      <c r="A6" s="104" t="s">
        <v>236</v>
      </c>
      <c r="B6" s="104"/>
      <c r="C6" s="104"/>
      <c r="D6" s="104"/>
      <c r="I6" s="122" t="s">
        <v>24</v>
      </c>
      <c r="J6" s="122"/>
    </row>
    <row r="7" spans="1:10" ht="31.5" x14ac:dyDescent="0.35">
      <c r="A7" s="76" t="s">
        <v>41</v>
      </c>
      <c r="B7" s="53" t="s">
        <v>70</v>
      </c>
      <c r="C7" s="54" t="s">
        <v>71</v>
      </c>
      <c r="D7" s="54" t="s">
        <v>72</v>
      </c>
      <c r="E7" s="54" t="s">
        <v>73</v>
      </c>
      <c r="F7" s="54" t="s">
        <v>74</v>
      </c>
      <c r="G7" s="54" t="s">
        <v>75</v>
      </c>
      <c r="H7" s="54" t="s">
        <v>76</v>
      </c>
      <c r="I7" s="54" t="s">
        <v>77</v>
      </c>
      <c r="J7" s="53" t="s">
        <v>78</v>
      </c>
    </row>
    <row r="8" spans="1:10" ht="18" customHeight="1" x14ac:dyDescent="0.35">
      <c r="A8" s="82">
        <v>13594060253</v>
      </c>
      <c r="B8" s="17">
        <f>818024281+343030012</f>
        <v>1161054293</v>
      </c>
      <c r="C8" s="17">
        <f>856057433+342337438</f>
        <v>1198394871</v>
      </c>
      <c r="D8" s="17">
        <f>847466343+315699365</f>
        <v>1163165708</v>
      </c>
      <c r="E8" s="17">
        <f>846408436+289442000</f>
        <v>1135850436</v>
      </c>
      <c r="F8" s="17">
        <f>814970591+267207493</f>
        <v>1082178084</v>
      </c>
      <c r="G8" s="32">
        <f>3539446466+1025149279+1</f>
        <v>4564595746</v>
      </c>
      <c r="H8" s="17">
        <f>1879661152+615064827</f>
        <v>2494725979</v>
      </c>
      <c r="I8" s="17">
        <f>379773587+278828051</f>
        <v>658601638</v>
      </c>
      <c r="J8" s="17">
        <v>135493498</v>
      </c>
    </row>
    <row r="11" spans="1:10" ht="19.5" x14ac:dyDescent="0.4">
      <c r="A11" s="121" t="s">
        <v>217</v>
      </c>
      <c r="B11" s="121"/>
      <c r="C11" s="121"/>
      <c r="D11" s="121"/>
      <c r="G11" s="50" t="s">
        <v>141</v>
      </c>
    </row>
    <row r="12" spans="1:10" ht="33" customHeight="1" x14ac:dyDescent="0.35">
      <c r="A12" s="123" t="s">
        <v>218</v>
      </c>
      <c r="B12" s="124"/>
      <c r="C12" s="127" t="s">
        <v>79</v>
      </c>
      <c r="D12" s="127"/>
      <c r="E12" s="127"/>
      <c r="F12" s="127"/>
      <c r="G12" s="128"/>
    </row>
    <row r="13" spans="1:10" ht="18" customHeight="1" x14ac:dyDescent="0.35">
      <c r="A13" s="125" t="s">
        <v>219</v>
      </c>
      <c r="B13" s="126"/>
      <c r="C13" s="119"/>
      <c r="D13" s="119"/>
      <c r="E13" s="119"/>
      <c r="F13" s="119"/>
      <c r="G13" s="120"/>
    </row>
  </sheetData>
  <mergeCells count="8">
    <mergeCell ref="C13:G13"/>
    <mergeCell ref="A1:C1"/>
    <mergeCell ref="A11:D11"/>
    <mergeCell ref="A6:D6"/>
    <mergeCell ref="I6:J6"/>
    <mergeCell ref="A12:B12"/>
    <mergeCell ref="A13:B13"/>
    <mergeCell ref="C12:G12"/>
  </mergeCells>
  <phoneticPr fontId="1"/>
  <pageMargins left="0.39370078740157483" right="0.39370078740157483" top="0.59055118110236227" bottom="0.39370078740157483" header="0.19685039370078741" footer="0.19685039370078741"/>
  <pageSetup paperSize="9" scale="78" fitToHeight="0" orientation="landscape" r:id="rId1"/>
  <headerFooter>
    <oddHeader>&amp;R&amp;9&amp;D</oddHeader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85" zoomScaleNormal="85" workbookViewId="0">
      <selection activeCell="C19" sqref="C19"/>
    </sheetView>
  </sheetViews>
  <sheetFormatPr defaultColWidth="8.875" defaultRowHeight="15.75" x14ac:dyDescent="0.35"/>
  <cols>
    <col min="1" max="1" width="17.375" style="18" bestFit="1" customWidth="1"/>
    <col min="2" max="6" width="20.875" style="18" customWidth="1"/>
    <col min="7" max="16384" width="8.875" style="18"/>
  </cols>
  <sheetData>
    <row r="1" spans="1:6" ht="19.5" x14ac:dyDescent="0.4">
      <c r="A1" s="104" t="s">
        <v>209</v>
      </c>
      <c r="B1" s="104"/>
      <c r="F1" s="84" t="s">
        <v>24</v>
      </c>
    </row>
    <row r="2" spans="1:6" ht="22.5" customHeight="1" x14ac:dyDescent="0.35">
      <c r="A2" s="129" t="s">
        <v>80</v>
      </c>
      <c r="B2" s="129" t="s">
        <v>81</v>
      </c>
      <c r="C2" s="129" t="s">
        <v>82</v>
      </c>
      <c r="D2" s="129" t="s">
        <v>83</v>
      </c>
      <c r="E2" s="129"/>
      <c r="F2" s="129" t="s">
        <v>84</v>
      </c>
    </row>
    <row r="3" spans="1:6" ht="22.5" customHeight="1" x14ac:dyDescent="0.35">
      <c r="A3" s="129"/>
      <c r="B3" s="129"/>
      <c r="C3" s="129"/>
      <c r="D3" s="89" t="s">
        <v>85</v>
      </c>
      <c r="E3" s="89" t="s">
        <v>29</v>
      </c>
      <c r="F3" s="129"/>
    </row>
    <row r="4" spans="1:6" ht="18" customHeight="1" x14ac:dyDescent="0.35">
      <c r="A4" s="23" t="s">
        <v>154</v>
      </c>
      <c r="B4" s="17">
        <v>1717885651</v>
      </c>
      <c r="C4" s="17">
        <v>0</v>
      </c>
      <c r="D4" s="17">
        <v>107492731</v>
      </c>
      <c r="E4" s="17">
        <v>0</v>
      </c>
      <c r="F4" s="17">
        <f>B4+C4-D4-E4</f>
        <v>1610392920</v>
      </c>
    </row>
    <row r="5" spans="1:6" ht="18" customHeight="1" x14ac:dyDescent="0.35">
      <c r="A5" s="23" t="s">
        <v>155</v>
      </c>
      <c r="B5" s="17">
        <v>138912798</v>
      </c>
      <c r="C5" s="32">
        <v>157645100</v>
      </c>
      <c r="D5" s="32">
        <f>131468979+3680819</f>
        <v>135149798</v>
      </c>
      <c r="E5" s="17">
        <v>0</v>
      </c>
      <c r="F5" s="32">
        <f>B5+C5-D5-E5</f>
        <v>161408100</v>
      </c>
    </row>
    <row r="6" spans="1:6" ht="18" customHeight="1" x14ac:dyDescent="0.35">
      <c r="A6" s="23" t="s">
        <v>156</v>
      </c>
      <c r="B6" s="17">
        <v>26908373</v>
      </c>
      <c r="C6" s="32">
        <f>10152431+155529</f>
        <v>10307960</v>
      </c>
      <c r="D6" s="17">
        <v>15398384</v>
      </c>
      <c r="E6" s="17">
        <v>0</v>
      </c>
      <c r="F6" s="17">
        <f>B6+C6-D6-E6</f>
        <v>21817949</v>
      </c>
    </row>
    <row r="7" spans="1:6" ht="18" customHeight="1" x14ac:dyDescent="0.35">
      <c r="A7" s="81" t="s">
        <v>9</v>
      </c>
      <c r="B7" s="103">
        <v>1883706822</v>
      </c>
      <c r="C7" s="103">
        <f>SUM(C4:C6)</f>
        <v>167953060</v>
      </c>
      <c r="D7" s="103">
        <f>SUM(D4:D6)</f>
        <v>258040913</v>
      </c>
      <c r="E7" s="17">
        <v>0</v>
      </c>
      <c r="F7" s="17">
        <f>B7+C7-D7-E7</f>
        <v>1793618969</v>
      </c>
    </row>
  </sheetData>
  <mergeCells count="6">
    <mergeCell ref="F2:F3"/>
    <mergeCell ref="A1:B1"/>
    <mergeCell ref="A2:A3"/>
    <mergeCell ref="B2:B3"/>
    <mergeCell ref="C2:C3"/>
    <mergeCell ref="D2:E2"/>
  </mergeCells>
  <phoneticPr fontId="1"/>
  <pageMargins left="0.59055118110236227" right="0.39370078740157483" top="0.39370078740157483" bottom="0.39370078740157483" header="0.19685039370078741" footer="0.19685039370078741"/>
  <pageSetup paperSize="9" scale="8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1.(1)①有形固定資産の明細</vt:lpstr>
      <vt:lpstr>1.(1)②有形固定資産に係る行政目的別の明細</vt:lpstr>
      <vt:lpstr>1.(1)③投資及び出資金の明細</vt:lpstr>
      <vt:lpstr>1.(1)④基金の明細</vt:lpstr>
      <vt:lpstr>1.(1)⑤貸付金の明細</vt:lpstr>
      <vt:lpstr>1.(1)⑥長期延滞債権の明細⑦未収金の明細</vt:lpstr>
      <vt:lpstr>1.(2)①地方債等（借入先別）の明細</vt:lpstr>
      <vt:lpstr>1.(2)②③④地方債等（利率別・返済期間別・契約条項）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'1.(2)①地方債等（借入先別）の明細'!Print_Area</vt:lpstr>
      <vt:lpstr>'3.(1)財源の明細'!Print_Area</vt:lpstr>
      <vt:lpstr>'3.(2)財源情報の明細'!Print_Area</vt:lpstr>
      <vt:lpstr>'1.(1)①有形固定資産の明細'!Print_Titles</vt:lpstr>
      <vt:lpstr>'1.(1)②有形固定資産に係る行政目的別の明細'!Print_Titles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萩野 恵</dc:creator>
  <cp:lastModifiedBy>a</cp:lastModifiedBy>
  <cp:lastPrinted>2022-04-22T09:46:27Z</cp:lastPrinted>
  <dcterms:created xsi:type="dcterms:W3CDTF">2020-04-06T11:00:36Z</dcterms:created>
  <dcterms:modified xsi:type="dcterms:W3CDTF">2022-04-22T09:47:25Z</dcterms:modified>
</cp:coreProperties>
</file>